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ppserviceslimited.sharepoint.com/teams/AllActEdStaff/Shared Documents/CM1/2025 Materials/PBOR/CM1B Y assignments/Assignment 2/"/>
    </mc:Choice>
  </mc:AlternateContent>
  <xr:revisionPtr revIDLastSave="44" documentId="11_A34BA0987682AA8F85C1A888AB2232D00CCEEBED" xr6:coauthVersionLast="47" xr6:coauthVersionMax="47" xr10:uidLastSave="{5EEEA3DA-3735-4039-8668-6ACAD116FEBF}"/>
  <bookViews>
    <workbookView xWindow="28680" yWindow="-120" windowWidth="21840" windowHeight="13140" firstSheet="8" activeTab="9" xr2:uid="{00000000-000D-0000-FFFF-FFFF00000000}"/>
  </bookViews>
  <sheets>
    <sheet name="Instructions" sheetId="1" r:id="rId1"/>
    <sheet name="Details" sheetId="7" r:id="rId2"/>
    <sheet name="Q1 Mortality table" sheetId="9" r:id="rId3"/>
    <sheet name="Q1 Inputs" sheetId="10" r:id="rId4"/>
    <sheet name="Q1 (i)" sheetId="11" r:id="rId5"/>
    <sheet name="Q1 (ii)" sheetId="12" r:id="rId6"/>
    <sheet name="Q1 (iii)" sheetId="13" r:id="rId7"/>
    <sheet name="Q1 (iv)" sheetId="14" r:id="rId8"/>
    <sheet name="Q1 (v)" sheetId="15" r:id="rId9"/>
    <sheet name="Q1 Answers" sheetId="16" r:id="rId10"/>
    <sheet name="Q2 Mortality table" sheetId="17" r:id="rId11"/>
    <sheet name="Q2 Inputs" sheetId="18" r:id="rId12"/>
    <sheet name="Q2 Reserves" sheetId="19" r:id="rId13"/>
    <sheet name="Q2 Profit test" sheetId="20" r:id="rId14"/>
    <sheet name="Q2 (i)" sheetId="21" r:id="rId15"/>
    <sheet name="Q2 (ii)" sheetId="22" r:id="rId16"/>
    <sheet name="Q2 (iii)" sheetId="23" r:id="rId17"/>
    <sheet name="Q2 (iv)" sheetId="24" r:id="rId18"/>
    <sheet name="Q2 (v)" sheetId="25" r:id="rId19"/>
    <sheet name="Q2 (vi) - Reserves" sheetId="26" r:id="rId20"/>
    <sheet name="Q2 (vi) - Profits" sheetId="27" r:id="rId21"/>
    <sheet name="Q2 Answers" sheetId="28" r:id="rId22"/>
  </sheets>
  <definedNames>
    <definedName name="A">'Q2 Inputs'!$D$4</definedName>
    <definedName name="BO">'Q2 Inputs'!$D$5</definedName>
    <definedName name="D">'Q2 Inputs'!$D$6</definedName>
    <definedName name="P">'Q2 Inputs'!$D$7</definedName>
    <definedName name="ProIE">'Q2 Inputs'!$F$12</definedName>
    <definedName name="ProINF">'Q2 Inputs'!$F$14</definedName>
    <definedName name="ProINT">'Q2 Inputs'!$F$11</definedName>
    <definedName name="ProMM">'Q2 Inputs'!$F$16</definedName>
    <definedName name="ProRE">'Q2 Inputs'!$F$13</definedName>
    <definedName name="ProUG">'Q2 Inputs'!$F$10</definedName>
    <definedName name="ResIE">'Q2 Inputs'!$D$12</definedName>
    <definedName name="ResINF">'Q2 Inputs'!$D$14</definedName>
    <definedName name="ResINT">'Q2 Inputs'!$D$11</definedName>
    <definedName name="ResMM">'Q2 Inputs'!$D$16</definedName>
    <definedName name="ResRE">'Q2 Inputs'!$D$13</definedName>
    <definedName name="ResUG">'Q2 Inputs'!$D$10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24" l="1"/>
  <c r="G29" i="24"/>
  <c r="B29" i="24"/>
  <c r="C29" i="24" s="1"/>
  <c r="H28" i="24"/>
  <c r="B28" i="24"/>
  <c r="C28" i="24" s="1"/>
  <c r="H27" i="24"/>
  <c r="B27" i="24"/>
  <c r="C27" i="24" s="1"/>
  <c r="H26" i="24"/>
  <c r="G26" i="24"/>
  <c r="C26" i="24"/>
  <c r="B26" i="24"/>
  <c r="H25" i="24"/>
  <c r="B25" i="24"/>
  <c r="H24" i="24"/>
  <c r="B24" i="24"/>
  <c r="C24" i="24" s="1"/>
  <c r="H23" i="24"/>
  <c r="C23" i="24"/>
  <c r="B23" i="24"/>
  <c r="H22" i="24"/>
  <c r="B22" i="24"/>
  <c r="H21" i="24"/>
  <c r="B21" i="24"/>
  <c r="C21" i="24" s="1"/>
  <c r="H20" i="24"/>
  <c r="B20" i="24"/>
  <c r="C20" i="24" s="1"/>
  <c r="H19" i="24"/>
  <c r="C19" i="24"/>
  <c r="B19" i="24"/>
  <c r="H18" i="24"/>
  <c r="G18" i="24"/>
  <c r="C18" i="24"/>
  <c r="B18" i="24"/>
  <c r="H17" i="24"/>
  <c r="B17" i="24"/>
  <c r="H16" i="24"/>
  <c r="B16" i="24"/>
  <c r="H15" i="24"/>
  <c r="B15" i="24"/>
  <c r="H14" i="24"/>
  <c r="B14" i="24"/>
  <c r="C14" i="24" s="1"/>
  <c r="H13" i="24"/>
  <c r="B13" i="24"/>
  <c r="H12" i="24"/>
  <c r="B12" i="24"/>
  <c r="H11" i="24"/>
  <c r="B11" i="24"/>
  <c r="C11" i="24" s="1"/>
  <c r="H10" i="24"/>
  <c r="B10" i="24"/>
  <c r="H9" i="24"/>
  <c r="B9" i="24"/>
  <c r="C9" i="24" s="1"/>
  <c r="H8" i="24"/>
  <c r="B8" i="24"/>
  <c r="H7" i="24"/>
  <c r="C7" i="24"/>
  <c r="B7" i="24"/>
  <c r="H6" i="24"/>
  <c r="B6" i="24"/>
  <c r="H5" i="24"/>
  <c r="G5" i="24"/>
  <c r="E5" i="24"/>
  <c r="K5" i="24" s="1"/>
  <c r="B5" i="24"/>
  <c r="C5" i="24" s="1"/>
  <c r="D5" i="24" s="1"/>
  <c r="H29" i="23"/>
  <c r="C29" i="23"/>
  <c r="B29" i="23"/>
  <c r="H28" i="23"/>
  <c r="C28" i="23"/>
  <c r="B28" i="23"/>
  <c r="H27" i="23"/>
  <c r="G27" i="23"/>
  <c r="C27" i="23"/>
  <c r="B27" i="23"/>
  <c r="H26" i="23"/>
  <c r="B26" i="23"/>
  <c r="H25" i="23"/>
  <c r="B25" i="23"/>
  <c r="C25" i="23" s="1"/>
  <c r="H24" i="23"/>
  <c r="C24" i="23"/>
  <c r="B24" i="23"/>
  <c r="H23" i="23"/>
  <c r="B23" i="23"/>
  <c r="H22" i="23"/>
  <c r="G22" i="23"/>
  <c r="B22" i="23"/>
  <c r="C22" i="23" s="1"/>
  <c r="H21" i="23"/>
  <c r="B21" i="23"/>
  <c r="C21" i="23" s="1"/>
  <c r="H20" i="23"/>
  <c r="B20" i="23"/>
  <c r="H19" i="23"/>
  <c r="B19" i="23"/>
  <c r="C19" i="23" s="1"/>
  <c r="G19" i="23" s="1"/>
  <c r="H18" i="23"/>
  <c r="B18" i="23"/>
  <c r="H17" i="23"/>
  <c r="B17" i="23"/>
  <c r="H16" i="23"/>
  <c r="G16" i="23"/>
  <c r="B16" i="23"/>
  <c r="C16" i="23" s="1"/>
  <c r="H15" i="23"/>
  <c r="B15" i="23"/>
  <c r="C15" i="23" s="1"/>
  <c r="H14" i="23"/>
  <c r="C14" i="23"/>
  <c r="B14" i="23"/>
  <c r="H13" i="23"/>
  <c r="B13" i="23"/>
  <c r="H12" i="23"/>
  <c r="B12" i="23"/>
  <c r="H11" i="23"/>
  <c r="B11" i="23"/>
  <c r="H10" i="23"/>
  <c r="B10" i="23"/>
  <c r="C10" i="23" s="1"/>
  <c r="H9" i="23"/>
  <c r="C9" i="23"/>
  <c r="B9" i="23"/>
  <c r="H8" i="23"/>
  <c r="B8" i="23"/>
  <c r="C8" i="23" s="1"/>
  <c r="H7" i="23"/>
  <c r="B7" i="23"/>
  <c r="C7" i="23" s="1"/>
  <c r="H6" i="23"/>
  <c r="C6" i="23"/>
  <c r="B6" i="23"/>
  <c r="H5" i="23"/>
  <c r="B5" i="23"/>
  <c r="H29" i="20"/>
  <c r="B29" i="20"/>
  <c r="C29" i="20" s="1"/>
  <c r="H28" i="20"/>
  <c r="C28" i="20"/>
  <c r="B28" i="20"/>
  <c r="H27" i="20"/>
  <c r="C27" i="20"/>
  <c r="B27" i="20"/>
  <c r="H26" i="20"/>
  <c r="B26" i="20"/>
  <c r="H25" i="20"/>
  <c r="G25" i="20"/>
  <c r="B25" i="20"/>
  <c r="C25" i="20" s="1"/>
  <c r="H24" i="20"/>
  <c r="B24" i="20"/>
  <c r="H23" i="20"/>
  <c r="C23" i="20"/>
  <c r="B23" i="20"/>
  <c r="H22" i="20"/>
  <c r="B22" i="20"/>
  <c r="C22" i="20" s="1"/>
  <c r="H21" i="20"/>
  <c r="B21" i="20"/>
  <c r="H20" i="20"/>
  <c r="C20" i="20"/>
  <c r="B20" i="20"/>
  <c r="H19" i="20"/>
  <c r="B19" i="20"/>
  <c r="H18" i="20"/>
  <c r="B18" i="20"/>
  <c r="H17" i="20"/>
  <c r="B17" i="20"/>
  <c r="C17" i="20" s="1"/>
  <c r="H16" i="20"/>
  <c r="C16" i="20"/>
  <c r="B16" i="20"/>
  <c r="H15" i="20"/>
  <c r="G15" i="20"/>
  <c r="B15" i="20"/>
  <c r="C15" i="20" s="1"/>
  <c r="H14" i="20"/>
  <c r="B14" i="20"/>
  <c r="C14" i="20" s="1"/>
  <c r="H13" i="20"/>
  <c r="B13" i="20"/>
  <c r="C13" i="20" s="1"/>
  <c r="H12" i="20"/>
  <c r="B12" i="20"/>
  <c r="C12" i="20" s="1"/>
  <c r="H11" i="20"/>
  <c r="B11" i="20"/>
  <c r="C11" i="20" s="1"/>
  <c r="H10" i="20"/>
  <c r="B10" i="20"/>
  <c r="C10" i="20" s="1"/>
  <c r="H9" i="20"/>
  <c r="B9" i="20"/>
  <c r="C9" i="20" s="1"/>
  <c r="H8" i="20"/>
  <c r="C8" i="20"/>
  <c r="B8" i="20"/>
  <c r="H7" i="20"/>
  <c r="G7" i="20"/>
  <c r="B7" i="20"/>
  <c r="C7" i="20" s="1"/>
  <c r="H6" i="20"/>
  <c r="B6" i="20"/>
  <c r="C6" i="20" s="1"/>
  <c r="H5" i="20"/>
  <c r="B5" i="20"/>
  <c r="C5" i="20" s="1"/>
  <c r="D5" i="20" s="1"/>
  <c r="E5" i="20" s="1"/>
  <c r="K5" i="20" s="1"/>
  <c r="H29" i="19"/>
  <c r="B29" i="19"/>
  <c r="H28" i="19"/>
  <c r="B28" i="19"/>
  <c r="C28" i="19" s="1"/>
  <c r="H27" i="19"/>
  <c r="B27" i="19"/>
  <c r="C27" i="19" s="1"/>
  <c r="G27" i="19" s="1"/>
  <c r="H26" i="19"/>
  <c r="B26" i="19"/>
  <c r="C26" i="19" s="1"/>
  <c r="H25" i="19"/>
  <c r="C25" i="19"/>
  <c r="B25" i="19"/>
  <c r="H24" i="19"/>
  <c r="B24" i="19"/>
  <c r="C24" i="19" s="1"/>
  <c r="H23" i="19"/>
  <c r="B23" i="19"/>
  <c r="C23" i="19" s="1"/>
  <c r="H22" i="19"/>
  <c r="B22" i="19"/>
  <c r="C22" i="19" s="1"/>
  <c r="H21" i="19"/>
  <c r="C21" i="19"/>
  <c r="B21" i="19"/>
  <c r="H20" i="19"/>
  <c r="B20" i="19"/>
  <c r="H19" i="19"/>
  <c r="B19" i="19"/>
  <c r="C19" i="19" s="1"/>
  <c r="H18" i="19"/>
  <c r="B18" i="19"/>
  <c r="C18" i="19" s="1"/>
  <c r="H17" i="19"/>
  <c r="C17" i="19"/>
  <c r="B17" i="19"/>
  <c r="H16" i="19"/>
  <c r="B16" i="19"/>
  <c r="C16" i="19" s="1"/>
  <c r="H15" i="19"/>
  <c r="B15" i="19"/>
  <c r="C15" i="19" s="1"/>
  <c r="H14" i="19"/>
  <c r="B14" i="19"/>
  <c r="C14" i="19" s="1"/>
  <c r="H13" i="19"/>
  <c r="B13" i="19"/>
  <c r="C13" i="19" s="1"/>
  <c r="J12" i="19"/>
  <c r="H12" i="19"/>
  <c r="C12" i="19"/>
  <c r="B12" i="19"/>
  <c r="H11" i="19"/>
  <c r="B11" i="19"/>
  <c r="H10" i="19"/>
  <c r="B10" i="19"/>
  <c r="C10" i="19" s="1"/>
  <c r="H9" i="19"/>
  <c r="B9" i="19"/>
  <c r="C9" i="19" s="1"/>
  <c r="H8" i="19"/>
  <c r="C8" i="19"/>
  <c r="B8" i="19"/>
  <c r="H7" i="19"/>
  <c r="B7" i="19"/>
  <c r="C7" i="19" s="1"/>
  <c r="H6" i="19"/>
  <c r="C6" i="19"/>
  <c r="B6" i="19"/>
  <c r="H5" i="19"/>
  <c r="B5" i="19"/>
  <c r="C5" i="19" s="1"/>
  <c r="D5" i="19" s="1"/>
  <c r="E5" i="19" s="1"/>
  <c r="K5" i="19" s="1"/>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D78" i="17"/>
  <c r="G78" i="17" s="1"/>
  <c r="H77" i="17"/>
  <c r="G77" i="17"/>
  <c r="D77" i="17"/>
  <c r="C77" i="17"/>
  <c r="F77" i="17" s="1"/>
  <c r="H76" i="17"/>
  <c r="D76" i="17"/>
  <c r="G76" i="17" s="1"/>
  <c r="C76" i="17"/>
  <c r="F76" i="17" s="1"/>
  <c r="H75" i="17"/>
  <c r="D75" i="17"/>
  <c r="G75" i="17" s="1"/>
  <c r="C75" i="17"/>
  <c r="H74" i="17"/>
  <c r="G74" i="17"/>
  <c r="F74" i="17"/>
  <c r="D74" i="17"/>
  <c r="C74" i="17"/>
  <c r="H73" i="17"/>
  <c r="G73" i="17"/>
  <c r="D73" i="17"/>
  <c r="C73" i="17"/>
  <c r="H72" i="17"/>
  <c r="D72" i="17"/>
  <c r="G72" i="17" s="1"/>
  <c r="C72" i="17"/>
  <c r="F72" i="17" s="1"/>
  <c r="H71" i="17"/>
  <c r="D71" i="17"/>
  <c r="G71" i="17" s="1"/>
  <c r="C71" i="17"/>
  <c r="H70" i="17"/>
  <c r="G70" i="17"/>
  <c r="F70" i="17"/>
  <c r="D70" i="17"/>
  <c r="C70" i="17"/>
  <c r="H69" i="17"/>
  <c r="G69" i="17"/>
  <c r="D69" i="17"/>
  <c r="C69" i="17"/>
  <c r="H68" i="17"/>
  <c r="D68" i="17"/>
  <c r="G68" i="17" s="1"/>
  <c r="C68" i="17"/>
  <c r="F68" i="17" s="1"/>
  <c r="H67" i="17"/>
  <c r="D67" i="17"/>
  <c r="G67" i="17" s="1"/>
  <c r="C67" i="17"/>
  <c r="H66" i="17"/>
  <c r="G66" i="17"/>
  <c r="F66" i="17"/>
  <c r="D66" i="17"/>
  <c r="C66" i="17"/>
  <c r="H65" i="17"/>
  <c r="G65" i="17"/>
  <c r="D65" i="17"/>
  <c r="C65" i="17"/>
  <c r="H64" i="17"/>
  <c r="D64" i="17"/>
  <c r="G64" i="17" s="1"/>
  <c r="C64" i="17"/>
  <c r="F64" i="17" s="1"/>
  <c r="H63" i="17"/>
  <c r="D63" i="17"/>
  <c r="G63" i="17" s="1"/>
  <c r="C63" i="17"/>
  <c r="H62" i="17"/>
  <c r="G62" i="17"/>
  <c r="F62" i="17"/>
  <c r="D62" i="17"/>
  <c r="C62" i="17"/>
  <c r="H61" i="17"/>
  <c r="G61" i="17"/>
  <c r="D61" i="17"/>
  <c r="C61" i="17"/>
  <c r="H60" i="17"/>
  <c r="D60" i="17"/>
  <c r="G60" i="17" s="1"/>
  <c r="C60" i="17"/>
  <c r="F60" i="17" s="1"/>
  <c r="H59" i="17"/>
  <c r="D59" i="17"/>
  <c r="G59" i="17" s="1"/>
  <c r="C59" i="17"/>
  <c r="H58" i="17"/>
  <c r="G58" i="17"/>
  <c r="D58" i="17"/>
  <c r="C58" i="17"/>
  <c r="H57" i="17"/>
  <c r="G57" i="17"/>
  <c r="D57" i="17"/>
  <c r="C57" i="17"/>
  <c r="H56" i="17"/>
  <c r="D56" i="17"/>
  <c r="G56" i="17" s="1"/>
  <c r="C56" i="17"/>
  <c r="F56" i="17" s="1"/>
  <c r="H55" i="17"/>
  <c r="D55" i="17"/>
  <c r="G55" i="17" s="1"/>
  <c r="C55" i="17"/>
  <c r="H54" i="17"/>
  <c r="F54" i="17"/>
  <c r="D54" i="17"/>
  <c r="G54" i="17" s="1"/>
  <c r="C54" i="17"/>
  <c r="H53" i="17"/>
  <c r="G53" i="17"/>
  <c r="D53" i="17"/>
  <c r="C53" i="17"/>
  <c r="H52" i="17"/>
  <c r="D52" i="17"/>
  <c r="G52" i="17" s="1"/>
  <c r="C52" i="17"/>
  <c r="F52" i="17" s="1"/>
  <c r="H51" i="17"/>
  <c r="J29" i="23" s="1"/>
  <c r="D51" i="17"/>
  <c r="G51" i="17" s="1"/>
  <c r="C51" i="17"/>
  <c r="H50" i="17"/>
  <c r="F50" i="17"/>
  <c r="D50" i="17"/>
  <c r="G50" i="17" s="1"/>
  <c r="C50" i="17"/>
  <c r="H49" i="17"/>
  <c r="G49" i="17"/>
  <c r="D49" i="17"/>
  <c r="C49" i="17"/>
  <c r="H48" i="17"/>
  <c r="D48" i="17"/>
  <c r="G48" i="17" s="1"/>
  <c r="C48" i="17"/>
  <c r="F48" i="17" s="1"/>
  <c r="H47" i="17"/>
  <c r="J25" i="24" s="1"/>
  <c r="D47" i="17"/>
  <c r="G47" i="17" s="1"/>
  <c r="C47" i="17"/>
  <c r="H46" i="17"/>
  <c r="F46" i="17"/>
  <c r="D46" i="17"/>
  <c r="G46" i="17" s="1"/>
  <c r="C46" i="17"/>
  <c r="H45" i="17"/>
  <c r="G45" i="17"/>
  <c r="D45" i="17"/>
  <c r="C45" i="17"/>
  <c r="H44" i="17"/>
  <c r="D44" i="17"/>
  <c r="G44" i="17" s="1"/>
  <c r="C44" i="17"/>
  <c r="F44" i="17" s="1"/>
  <c r="H43" i="17"/>
  <c r="J21" i="20" s="1"/>
  <c r="D43" i="17"/>
  <c r="G43" i="17" s="1"/>
  <c r="C43" i="17"/>
  <c r="H42" i="17"/>
  <c r="D42" i="17"/>
  <c r="G42" i="17" s="1"/>
  <c r="C42" i="17"/>
  <c r="H41" i="17"/>
  <c r="D41" i="17"/>
  <c r="G41" i="17" s="1"/>
  <c r="C41" i="17"/>
  <c r="H40" i="17"/>
  <c r="D40" i="17"/>
  <c r="G40" i="17" s="1"/>
  <c r="C40" i="17"/>
  <c r="F40" i="17" s="1"/>
  <c r="H39" i="17"/>
  <c r="J17" i="24" s="1"/>
  <c r="F39" i="17"/>
  <c r="D39" i="17"/>
  <c r="G39" i="17" s="1"/>
  <c r="C39" i="17"/>
  <c r="H38" i="17"/>
  <c r="D38" i="17"/>
  <c r="G38" i="17" s="1"/>
  <c r="C38" i="17"/>
  <c r="F38" i="17" s="1"/>
  <c r="H37" i="17"/>
  <c r="D37" i="17"/>
  <c r="G37" i="17" s="1"/>
  <c r="C37" i="17"/>
  <c r="H36" i="17"/>
  <c r="D36" i="17"/>
  <c r="G36" i="17" s="1"/>
  <c r="C36" i="17"/>
  <c r="F36" i="17" s="1"/>
  <c r="H35" i="17"/>
  <c r="F35" i="17"/>
  <c r="D35" i="17"/>
  <c r="G35" i="17" s="1"/>
  <c r="C35" i="17"/>
  <c r="H34" i="17"/>
  <c r="D34" i="17"/>
  <c r="G34" i="17" s="1"/>
  <c r="C34" i="17"/>
  <c r="F34" i="17" s="1"/>
  <c r="H33" i="17"/>
  <c r="D33" i="17"/>
  <c r="G33" i="17" s="1"/>
  <c r="C33" i="17"/>
  <c r="H32" i="17"/>
  <c r="D32" i="17"/>
  <c r="G32" i="17" s="1"/>
  <c r="C32" i="17"/>
  <c r="F32" i="17" s="1"/>
  <c r="H31" i="17"/>
  <c r="J9" i="19" s="1"/>
  <c r="F31" i="17"/>
  <c r="D31" i="17"/>
  <c r="G31" i="17" s="1"/>
  <c r="C31" i="17"/>
  <c r="H30" i="17"/>
  <c r="D30" i="17"/>
  <c r="G30" i="17" s="1"/>
  <c r="C30" i="17"/>
  <c r="F30" i="17" s="1"/>
  <c r="H29" i="17"/>
  <c r="D29" i="17"/>
  <c r="G29" i="17" s="1"/>
  <c r="C29" i="17"/>
  <c r="H28" i="17"/>
  <c r="J6" i="20" s="1"/>
  <c r="D28" i="17"/>
  <c r="G28" i="17" s="1"/>
  <c r="C28" i="17"/>
  <c r="F28" i="17" s="1"/>
  <c r="H27" i="17"/>
  <c r="J5" i="19" s="1"/>
  <c r="L5" i="19" s="1"/>
  <c r="F27" i="17"/>
  <c r="D27" i="17"/>
  <c r="G27" i="17" s="1"/>
  <c r="C27" i="17"/>
  <c r="H26" i="17"/>
  <c r="D26" i="17"/>
  <c r="G26" i="17" s="1"/>
  <c r="C26" i="17"/>
  <c r="F26" i="17" s="1"/>
  <c r="H25" i="17"/>
  <c r="D25" i="17"/>
  <c r="G25" i="17" s="1"/>
  <c r="C25" i="17"/>
  <c r="H24" i="17"/>
  <c r="D24" i="17"/>
  <c r="G24" i="17" s="1"/>
  <c r="C24" i="17"/>
  <c r="F24" i="17" s="1"/>
  <c r="H23" i="17"/>
  <c r="F23" i="17"/>
  <c r="D23" i="17"/>
  <c r="G23" i="17" s="1"/>
  <c r="C23" i="17"/>
  <c r="H22" i="17"/>
  <c r="D22" i="17"/>
  <c r="G22" i="17" s="1"/>
  <c r="C22" i="17"/>
  <c r="F22" i="17" s="1"/>
  <c r="H21" i="17"/>
  <c r="D21" i="17"/>
  <c r="G21" i="17" s="1"/>
  <c r="C21" i="17"/>
  <c r="H20" i="17"/>
  <c r="D20" i="17"/>
  <c r="G20" i="17" s="1"/>
  <c r="C20" i="17"/>
  <c r="F20" i="17" s="1"/>
  <c r="H19" i="17"/>
  <c r="F19" i="17"/>
  <c r="D19" i="17"/>
  <c r="G19" i="17" s="1"/>
  <c r="C19" i="17"/>
  <c r="H18" i="17"/>
  <c r="D18" i="17"/>
  <c r="G18" i="17" s="1"/>
  <c r="C18" i="17"/>
  <c r="F18" i="17" s="1"/>
  <c r="H17" i="17"/>
  <c r="D17" i="17"/>
  <c r="G17" i="17" s="1"/>
  <c r="C17" i="17"/>
  <c r="H16" i="17"/>
  <c r="D16" i="17"/>
  <c r="G16" i="17" s="1"/>
  <c r="C16" i="17"/>
  <c r="F16" i="17" s="1"/>
  <c r="H15" i="17"/>
  <c r="F15" i="17"/>
  <c r="D15" i="17"/>
  <c r="G15" i="17" s="1"/>
  <c r="C15" i="17"/>
  <c r="H14" i="17"/>
  <c r="D14" i="17"/>
  <c r="G14" i="17" s="1"/>
  <c r="C14" i="17"/>
  <c r="F14" i="17" s="1"/>
  <c r="H13" i="17"/>
  <c r="D13" i="17"/>
  <c r="G13" i="17" s="1"/>
  <c r="C13" i="17"/>
  <c r="H12" i="17"/>
  <c r="D12" i="17"/>
  <c r="G12" i="17" s="1"/>
  <c r="C12" i="17"/>
  <c r="F12" i="17" s="1"/>
  <c r="H11" i="17"/>
  <c r="F11" i="17"/>
  <c r="D11" i="17"/>
  <c r="G11" i="17" s="1"/>
  <c r="C11" i="17"/>
  <c r="H10" i="17"/>
  <c r="D10" i="17"/>
  <c r="G10" i="17" s="1"/>
  <c r="C10" i="17"/>
  <c r="H9" i="17"/>
  <c r="G9" i="17"/>
  <c r="D9" i="17"/>
  <c r="C9" i="17"/>
  <c r="H8" i="17"/>
  <c r="D8" i="17"/>
  <c r="G8" i="17" s="1"/>
  <c r="C8" i="17"/>
  <c r="F8" i="17" s="1"/>
  <c r="H7" i="17"/>
  <c r="F7" i="17"/>
  <c r="D7" i="17"/>
  <c r="G7" i="17" s="1"/>
  <c r="C7" i="17"/>
  <c r="H6" i="17"/>
  <c r="D6" i="17"/>
  <c r="G6" i="17" s="1"/>
  <c r="C6" i="17"/>
  <c r="F6" i="17" s="1"/>
  <c r="H5" i="17"/>
  <c r="G5" i="17"/>
  <c r="D5" i="17"/>
  <c r="C5" i="17"/>
  <c r="H4" i="17"/>
  <c r="C4" i="17"/>
  <c r="F4" i="17" s="1"/>
  <c r="D9" i="13"/>
  <c r="D8" i="13"/>
  <c r="D7" i="13"/>
  <c r="P3" i="11"/>
  <c r="O3" i="11"/>
  <c r="D3" i="11"/>
  <c r="C3" i="11"/>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G78" i="9"/>
  <c r="D78" i="9"/>
  <c r="H77" i="9"/>
  <c r="G77" i="9"/>
  <c r="F77" i="9"/>
  <c r="D77" i="9"/>
  <c r="C77" i="9"/>
  <c r="H76" i="9"/>
  <c r="G76" i="9"/>
  <c r="D76" i="9"/>
  <c r="C76" i="9"/>
  <c r="H75" i="9"/>
  <c r="D75" i="9"/>
  <c r="G75" i="9" s="1"/>
  <c r="C75" i="9"/>
  <c r="F75" i="9" s="1"/>
  <c r="H74" i="9"/>
  <c r="D74" i="9"/>
  <c r="G74" i="9" s="1"/>
  <c r="C74" i="9"/>
  <c r="H73" i="9"/>
  <c r="G73" i="9"/>
  <c r="F73" i="9"/>
  <c r="D73" i="9"/>
  <c r="C73" i="9"/>
  <c r="H72" i="9"/>
  <c r="G72" i="9"/>
  <c r="D72" i="9"/>
  <c r="C72" i="9"/>
  <c r="H71" i="9"/>
  <c r="D71" i="9"/>
  <c r="G71" i="9" s="1"/>
  <c r="C71" i="9"/>
  <c r="F71" i="9" s="1"/>
  <c r="H70" i="9"/>
  <c r="D70" i="9"/>
  <c r="G70" i="9" s="1"/>
  <c r="C70" i="9"/>
  <c r="H69" i="9"/>
  <c r="G69" i="9"/>
  <c r="F69" i="9"/>
  <c r="D69" i="9"/>
  <c r="C69" i="9"/>
  <c r="H68" i="9"/>
  <c r="G68" i="9"/>
  <c r="D68" i="9"/>
  <c r="C68" i="9"/>
  <c r="H67" i="9"/>
  <c r="D67" i="9"/>
  <c r="G67" i="9" s="1"/>
  <c r="C67" i="9"/>
  <c r="F67" i="9" s="1"/>
  <c r="H66" i="9"/>
  <c r="D66" i="9"/>
  <c r="G66" i="9" s="1"/>
  <c r="C66" i="9"/>
  <c r="H65" i="9"/>
  <c r="G65" i="9"/>
  <c r="F65" i="9"/>
  <c r="D65" i="9"/>
  <c r="C65" i="9"/>
  <c r="H64" i="9"/>
  <c r="G64" i="9"/>
  <c r="D64" i="9"/>
  <c r="C64" i="9"/>
  <c r="H63" i="9"/>
  <c r="D63" i="9"/>
  <c r="G63" i="9" s="1"/>
  <c r="C63" i="9"/>
  <c r="F63" i="9" s="1"/>
  <c r="H62" i="9"/>
  <c r="D62" i="9"/>
  <c r="G62" i="9" s="1"/>
  <c r="C62" i="9"/>
  <c r="H61" i="9"/>
  <c r="D61" i="9"/>
  <c r="G61" i="9" s="1"/>
  <c r="C61" i="9"/>
  <c r="H60" i="9"/>
  <c r="G60" i="9"/>
  <c r="D60" i="9"/>
  <c r="C60" i="9"/>
  <c r="H59" i="9"/>
  <c r="D59" i="9"/>
  <c r="G59" i="9" s="1"/>
  <c r="C59" i="9"/>
  <c r="F59" i="9" s="1"/>
  <c r="H58" i="9"/>
  <c r="D58" i="9"/>
  <c r="G58" i="9" s="1"/>
  <c r="C58" i="9"/>
  <c r="H57" i="9"/>
  <c r="D57" i="9"/>
  <c r="G57" i="9" s="1"/>
  <c r="C57" i="9"/>
  <c r="H56" i="9"/>
  <c r="D56" i="9"/>
  <c r="G56" i="9" s="1"/>
  <c r="C56" i="9"/>
  <c r="H55" i="9"/>
  <c r="D55" i="9"/>
  <c r="G55" i="9" s="1"/>
  <c r="C55" i="9"/>
  <c r="F55" i="9" s="1"/>
  <c r="H54" i="9"/>
  <c r="F54" i="9"/>
  <c r="D54" i="9"/>
  <c r="G54" i="9" s="1"/>
  <c r="C54" i="9"/>
  <c r="H53" i="9"/>
  <c r="D53" i="9"/>
  <c r="G53" i="9" s="1"/>
  <c r="C53" i="9"/>
  <c r="F53" i="9" s="1"/>
  <c r="H52" i="9"/>
  <c r="D52" i="9"/>
  <c r="G52" i="9" s="1"/>
  <c r="C52" i="9"/>
  <c r="H51" i="9"/>
  <c r="D51" i="9"/>
  <c r="G51" i="9" s="1"/>
  <c r="C51" i="9"/>
  <c r="F51" i="9" s="1"/>
  <c r="H50" i="9"/>
  <c r="F50" i="9"/>
  <c r="D50" i="9"/>
  <c r="G50" i="9" s="1"/>
  <c r="C50" i="9"/>
  <c r="H49" i="9"/>
  <c r="D49" i="9"/>
  <c r="G49" i="9" s="1"/>
  <c r="C49" i="9"/>
  <c r="F49" i="9" s="1"/>
  <c r="H48" i="9"/>
  <c r="D48" i="9"/>
  <c r="G48" i="9" s="1"/>
  <c r="C48" i="9"/>
  <c r="H47" i="9"/>
  <c r="D47" i="9"/>
  <c r="G47" i="9" s="1"/>
  <c r="C47" i="9"/>
  <c r="F47" i="9" s="1"/>
  <c r="H46" i="9"/>
  <c r="F46" i="9"/>
  <c r="D46" i="9"/>
  <c r="G46" i="9" s="1"/>
  <c r="C46" i="9"/>
  <c r="H45" i="9"/>
  <c r="D45" i="9"/>
  <c r="G45" i="9" s="1"/>
  <c r="C45" i="9"/>
  <c r="F45" i="9" s="1"/>
  <c r="H44" i="9"/>
  <c r="D44" i="9"/>
  <c r="G44" i="9" s="1"/>
  <c r="C44" i="9"/>
  <c r="H43" i="9"/>
  <c r="D43" i="9"/>
  <c r="G43" i="9" s="1"/>
  <c r="C43" i="9"/>
  <c r="F43" i="9" s="1"/>
  <c r="H42" i="9"/>
  <c r="F42" i="9"/>
  <c r="D42" i="9"/>
  <c r="G42" i="9" s="1"/>
  <c r="C42" i="9"/>
  <c r="H41" i="9"/>
  <c r="D41" i="9"/>
  <c r="G41" i="9" s="1"/>
  <c r="C41" i="9"/>
  <c r="F41" i="9" s="1"/>
  <c r="H40" i="9"/>
  <c r="D40" i="9"/>
  <c r="G40" i="9" s="1"/>
  <c r="C40" i="9"/>
  <c r="H39" i="9"/>
  <c r="D39" i="9"/>
  <c r="G39" i="9" s="1"/>
  <c r="C39" i="9"/>
  <c r="F39" i="9" s="1"/>
  <c r="H38" i="9"/>
  <c r="F38" i="9"/>
  <c r="D38" i="9"/>
  <c r="G38" i="9" s="1"/>
  <c r="C38" i="9"/>
  <c r="H37" i="9"/>
  <c r="D37" i="9"/>
  <c r="G37" i="9" s="1"/>
  <c r="C37" i="9"/>
  <c r="F37" i="9" s="1"/>
  <c r="H36" i="9"/>
  <c r="D36" i="9"/>
  <c r="G36" i="9" s="1"/>
  <c r="C36" i="9"/>
  <c r="H35" i="9"/>
  <c r="D35" i="9"/>
  <c r="G35" i="9" s="1"/>
  <c r="C35" i="9"/>
  <c r="F35" i="9" s="1"/>
  <c r="H34" i="9"/>
  <c r="F34" i="9"/>
  <c r="D34" i="9"/>
  <c r="G34" i="9" s="1"/>
  <c r="C34" i="9"/>
  <c r="H33" i="9"/>
  <c r="D33" i="9"/>
  <c r="G33" i="9" s="1"/>
  <c r="C33" i="9"/>
  <c r="F33" i="9" s="1"/>
  <c r="H32" i="9"/>
  <c r="D32" i="9"/>
  <c r="G32" i="9" s="1"/>
  <c r="C32" i="9"/>
  <c r="H31" i="9"/>
  <c r="D31" i="9"/>
  <c r="G31" i="9" s="1"/>
  <c r="C31" i="9"/>
  <c r="F31" i="9" s="1"/>
  <c r="H30" i="9"/>
  <c r="F30" i="9"/>
  <c r="D30" i="9"/>
  <c r="G30" i="9" s="1"/>
  <c r="C30" i="9"/>
  <c r="H29" i="9"/>
  <c r="D29" i="9"/>
  <c r="G29" i="9" s="1"/>
  <c r="C29" i="9"/>
  <c r="F29" i="9" s="1"/>
  <c r="H28" i="9"/>
  <c r="D28" i="9"/>
  <c r="G28" i="9" s="1"/>
  <c r="C28" i="9"/>
  <c r="H27" i="9"/>
  <c r="D27" i="9"/>
  <c r="G27" i="9" s="1"/>
  <c r="C27" i="9"/>
  <c r="F27" i="9" s="1"/>
  <c r="H26" i="9"/>
  <c r="D26" i="9"/>
  <c r="G26" i="9" s="1"/>
  <c r="C26" i="9"/>
  <c r="H25" i="9"/>
  <c r="D25" i="9"/>
  <c r="G25" i="9" s="1"/>
  <c r="C25" i="9"/>
  <c r="F25" i="9" s="1"/>
  <c r="H24" i="9"/>
  <c r="G24" i="9"/>
  <c r="F24" i="9"/>
  <c r="D24" i="9"/>
  <c r="C24" i="9"/>
  <c r="H23" i="9"/>
  <c r="D23" i="9"/>
  <c r="G23" i="9" s="1"/>
  <c r="C23" i="9"/>
  <c r="F23" i="9" s="1"/>
  <c r="H22" i="9"/>
  <c r="D22" i="9"/>
  <c r="G22" i="9" s="1"/>
  <c r="C22" i="9"/>
  <c r="H21" i="9"/>
  <c r="D21" i="9"/>
  <c r="G21" i="9" s="1"/>
  <c r="C21" i="9"/>
  <c r="F21" i="9" s="1"/>
  <c r="H20" i="9"/>
  <c r="G20" i="9"/>
  <c r="F20" i="9"/>
  <c r="D20" i="9"/>
  <c r="C20" i="9"/>
  <c r="H19" i="9"/>
  <c r="D19" i="9"/>
  <c r="G19" i="9" s="1"/>
  <c r="C19" i="9"/>
  <c r="F19" i="9" s="1"/>
  <c r="H18" i="9"/>
  <c r="D18" i="9"/>
  <c r="G18" i="9" s="1"/>
  <c r="C18" i="9"/>
  <c r="H17" i="9"/>
  <c r="D17" i="9"/>
  <c r="G17" i="9" s="1"/>
  <c r="C17" i="9"/>
  <c r="F17" i="9" s="1"/>
  <c r="H16" i="9"/>
  <c r="G16" i="9"/>
  <c r="F16" i="9"/>
  <c r="D16" i="9"/>
  <c r="C16" i="9"/>
  <c r="H15" i="9"/>
  <c r="D15" i="9"/>
  <c r="G15" i="9" s="1"/>
  <c r="C15" i="9"/>
  <c r="F15" i="9" s="1"/>
  <c r="H14" i="9"/>
  <c r="D14" i="9"/>
  <c r="G14" i="9" s="1"/>
  <c r="C14" i="9"/>
  <c r="H13" i="9"/>
  <c r="D13" i="9"/>
  <c r="G13" i="9" s="1"/>
  <c r="C13" i="9"/>
  <c r="F13" i="9" s="1"/>
  <c r="H12" i="9"/>
  <c r="G12" i="9"/>
  <c r="F12" i="9"/>
  <c r="D12" i="9"/>
  <c r="C12" i="9"/>
  <c r="H11" i="9"/>
  <c r="D11" i="9"/>
  <c r="G11" i="9" s="1"/>
  <c r="C11" i="9"/>
  <c r="F11" i="9" s="1"/>
  <c r="H10" i="9"/>
  <c r="D10" i="9"/>
  <c r="G10" i="9" s="1"/>
  <c r="C10" i="9"/>
  <c r="H9" i="9"/>
  <c r="D9" i="9"/>
  <c r="G9" i="9" s="1"/>
  <c r="C9" i="9"/>
  <c r="F9" i="9" s="1"/>
  <c r="H8" i="9"/>
  <c r="G8" i="9"/>
  <c r="F8" i="9"/>
  <c r="D8" i="9"/>
  <c r="C8" i="9"/>
  <c r="H7" i="9"/>
  <c r="D7" i="9"/>
  <c r="G7" i="9" s="1"/>
  <c r="C7" i="9"/>
  <c r="F7" i="9" s="1"/>
  <c r="H6" i="9"/>
  <c r="D6" i="9"/>
  <c r="G6" i="9" s="1"/>
  <c r="C6" i="9"/>
  <c r="H5" i="9"/>
  <c r="D5" i="9"/>
  <c r="G5" i="9" s="1"/>
  <c r="C5" i="9"/>
  <c r="F5" i="9" s="1"/>
  <c r="H4" i="9"/>
  <c r="C4" i="9"/>
  <c r="F4" i="9" s="1"/>
  <c r="G13" i="23" l="1"/>
  <c r="F65" i="17"/>
  <c r="F73" i="17"/>
  <c r="G19" i="19"/>
  <c r="F60" i="9"/>
  <c r="F45" i="17"/>
  <c r="F49" i="17"/>
  <c r="F53" i="17"/>
  <c r="F57" i="17"/>
  <c r="G11" i="20"/>
  <c r="G29" i="20"/>
  <c r="C13" i="23"/>
  <c r="G29" i="23"/>
  <c r="I29" i="23" s="1"/>
  <c r="G19" i="24"/>
  <c r="I19" i="24" s="1"/>
  <c r="F61" i="17"/>
  <c r="F28" i="9"/>
  <c r="F32" i="9"/>
  <c r="F36" i="9"/>
  <c r="F40" i="9"/>
  <c r="F44" i="9"/>
  <c r="F48" i="9"/>
  <c r="F52" i="9"/>
  <c r="F56" i="9"/>
  <c r="F13" i="17"/>
  <c r="F17" i="17"/>
  <c r="F21" i="17"/>
  <c r="F25" i="17"/>
  <c r="F29" i="17"/>
  <c r="F33" i="17"/>
  <c r="F37" i="17"/>
  <c r="F41" i="17"/>
  <c r="G8" i="19"/>
  <c r="I8" i="19" s="1"/>
  <c r="G17" i="19"/>
  <c r="C24" i="20"/>
  <c r="G24" i="20" s="1"/>
  <c r="I24" i="20" s="1"/>
  <c r="F72" i="9"/>
  <c r="F62" i="9"/>
  <c r="F66" i="9"/>
  <c r="F70" i="9"/>
  <c r="F74" i="9"/>
  <c r="F5" i="17"/>
  <c r="F9" i="17"/>
  <c r="F59" i="17"/>
  <c r="F63" i="17"/>
  <c r="F67" i="17"/>
  <c r="F71" i="17"/>
  <c r="F75" i="17"/>
  <c r="G12" i="24"/>
  <c r="I12" i="24" s="1"/>
  <c r="F68" i="9"/>
  <c r="F6" i="9"/>
  <c r="F10" i="9"/>
  <c r="F14" i="9"/>
  <c r="F18" i="9"/>
  <c r="F22" i="9"/>
  <c r="F26" i="9"/>
  <c r="F58" i="9"/>
  <c r="F43" i="17"/>
  <c r="F47" i="17"/>
  <c r="F51" i="17"/>
  <c r="F55" i="17"/>
  <c r="C11" i="23"/>
  <c r="G11" i="23" s="1"/>
  <c r="I11" i="23" s="1"/>
  <c r="G14" i="23"/>
  <c r="I14" i="23" s="1"/>
  <c r="G9" i="24"/>
  <c r="C12" i="24"/>
  <c r="C15" i="24"/>
  <c r="G15" i="24" s="1"/>
  <c r="I15" i="24" s="1"/>
  <c r="G6" i="19"/>
  <c r="G28" i="20"/>
  <c r="I28" i="20" s="1"/>
  <c r="G6" i="23"/>
  <c r="I6" i="23" s="1"/>
  <c r="G28" i="23"/>
  <c r="I28" i="23" s="1"/>
  <c r="G25" i="19"/>
  <c r="G20" i="20"/>
  <c r="G23" i="20"/>
  <c r="G10" i="19"/>
  <c r="F64" i="9"/>
  <c r="F76" i="9"/>
  <c r="F69" i="17"/>
  <c r="C29" i="19"/>
  <c r="G29" i="19" s="1"/>
  <c r="I29" i="19" s="1"/>
  <c r="G7" i="23"/>
  <c r="I7" i="23" s="1"/>
  <c r="G10" i="23"/>
  <c r="G15" i="23"/>
  <c r="I15" i="23" s="1"/>
  <c r="C20" i="23"/>
  <c r="G20" i="23" s="1"/>
  <c r="I20" i="23" s="1"/>
  <c r="C8" i="24"/>
  <c r="G8" i="24" s="1"/>
  <c r="I8" i="24" s="1"/>
  <c r="C16" i="24"/>
  <c r="G16" i="24" s="1"/>
  <c r="I16" i="24" s="1"/>
  <c r="G21" i="24"/>
  <c r="G27" i="24"/>
  <c r="I27" i="24" s="1"/>
  <c r="D6" i="19"/>
  <c r="E6" i="19" s="1"/>
  <c r="K6" i="19" s="1"/>
  <c r="I6" i="19"/>
  <c r="I10" i="19"/>
  <c r="I27" i="19"/>
  <c r="D7" i="19"/>
  <c r="E7" i="19" s="1"/>
  <c r="K7" i="19" s="1"/>
  <c r="F57" i="9"/>
  <c r="F61" i="9"/>
  <c r="F10" i="17"/>
  <c r="J10" i="24"/>
  <c r="J10" i="23"/>
  <c r="J14" i="24"/>
  <c r="J14" i="23"/>
  <c r="J18" i="24"/>
  <c r="J18" i="20"/>
  <c r="F42" i="17"/>
  <c r="J22" i="24"/>
  <c r="J22" i="20"/>
  <c r="J22" i="23"/>
  <c r="J26" i="24"/>
  <c r="J26" i="20"/>
  <c r="F58" i="17"/>
  <c r="J6" i="19"/>
  <c r="L6" i="19" s="1"/>
  <c r="M6" i="19" s="1"/>
  <c r="G7" i="19"/>
  <c r="I15" i="20"/>
  <c r="C12" i="23"/>
  <c r="G12" i="23" s="1"/>
  <c r="I19" i="23"/>
  <c r="J26" i="23"/>
  <c r="I18" i="24"/>
  <c r="J7" i="24"/>
  <c r="J7" i="23"/>
  <c r="J7" i="20"/>
  <c r="J11" i="24"/>
  <c r="J11" i="20"/>
  <c r="J11" i="23"/>
  <c r="J15" i="24"/>
  <c r="J15" i="20"/>
  <c r="J15" i="23"/>
  <c r="J19" i="23"/>
  <c r="J19" i="24"/>
  <c r="J19" i="20"/>
  <c r="J23" i="23"/>
  <c r="J23" i="24"/>
  <c r="J23" i="20"/>
  <c r="J27" i="23"/>
  <c r="J27" i="24"/>
  <c r="J27" i="20"/>
  <c r="C11" i="19"/>
  <c r="J15" i="19"/>
  <c r="G16" i="19"/>
  <c r="I17" i="19"/>
  <c r="J18" i="19"/>
  <c r="I19" i="19"/>
  <c r="J23" i="19"/>
  <c r="G24" i="19"/>
  <c r="I25" i="19"/>
  <c r="J26" i="19"/>
  <c r="G28" i="19"/>
  <c r="D6" i="20"/>
  <c r="E6" i="20" s="1"/>
  <c r="K6" i="20" s="1"/>
  <c r="L6" i="20" s="1"/>
  <c r="G8" i="20"/>
  <c r="J10" i="20"/>
  <c r="G19" i="20"/>
  <c r="C19" i="20"/>
  <c r="I29" i="20"/>
  <c r="I13" i="23"/>
  <c r="J18" i="23"/>
  <c r="C23" i="23"/>
  <c r="G23" i="23" s="1"/>
  <c r="C22" i="24"/>
  <c r="G22" i="24" s="1"/>
  <c r="J8" i="20"/>
  <c r="J8" i="24"/>
  <c r="J8" i="23"/>
  <c r="J12" i="24"/>
  <c r="J12" i="20"/>
  <c r="J16" i="24"/>
  <c r="J16" i="23"/>
  <c r="J16" i="19"/>
  <c r="J16" i="20"/>
  <c r="J20" i="23"/>
  <c r="J20" i="24"/>
  <c r="J20" i="19"/>
  <c r="J20" i="20"/>
  <c r="J24" i="23"/>
  <c r="J24" i="24"/>
  <c r="J24" i="19"/>
  <c r="J24" i="20"/>
  <c r="J28" i="23"/>
  <c r="J28" i="24"/>
  <c r="J28" i="19"/>
  <c r="G5" i="19"/>
  <c r="J8" i="19"/>
  <c r="G9" i="19"/>
  <c r="G12" i="19"/>
  <c r="C20" i="19"/>
  <c r="G20" i="19" s="1"/>
  <c r="I7" i="20"/>
  <c r="G12" i="20"/>
  <c r="J14" i="20"/>
  <c r="C21" i="20"/>
  <c r="G21" i="20" s="1"/>
  <c r="G22" i="20"/>
  <c r="J12" i="23"/>
  <c r="I9" i="24"/>
  <c r="J6" i="24"/>
  <c r="J6" i="23"/>
  <c r="J10" i="19"/>
  <c r="J5" i="24"/>
  <c r="L5" i="24" s="1"/>
  <c r="J5" i="23"/>
  <c r="J5" i="20"/>
  <c r="L5" i="20" s="1"/>
  <c r="J9" i="23"/>
  <c r="J9" i="24"/>
  <c r="J9" i="20"/>
  <c r="J13" i="23"/>
  <c r="J13" i="24"/>
  <c r="J13" i="19"/>
  <c r="J13" i="20"/>
  <c r="J17" i="23"/>
  <c r="J17" i="19"/>
  <c r="J17" i="20"/>
  <c r="J21" i="24"/>
  <c r="J21" i="23"/>
  <c r="J21" i="19"/>
  <c r="J25" i="23"/>
  <c r="J25" i="20"/>
  <c r="J25" i="19"/>
  <c r="J29" i="24"/>
  <c r="J29" i="20"/>
  <c r="J29" i="19"/>
  <c r="J7" i="19"/>
  <c r="L7" i="19" s="1"/>
  <c r="J11" i="19"/>
  <c r="G13" i="19"/>
  <c r="J14" i="19"/>
  <c r="G15" i="19"/>
  <c r="J19" i="19"/>
  <c r="G21" i="19"/>
  <c r="J22" i="19"/>
  <c r="G23" i="19"/>
  <c r="J27" i="19"/>
  <c r="I11" i="20"/>
  <c r="G16" i="20"/>
  <c r="C18" i="20"/>
  <c r="G18" i="20" s="1"/>
  <c r="I20" i="20"/>
  <c r="I23" i="20"/>
  <c r="J28" i="20"/>
  <c r="C5" i="23"/>
  <c r="D5" i="23" s="1"/>
  <c r="E5" i="23" s="1"/>
  <c r="G9" i="23"/>
  <c r="I27" i="23"/>
  <c r="I26" i="24"/>
  <c r="G6" i="20"/>
  <c r="G10" i="20"/>
  <c r="G14" i="20"/>
  <c r="I25" i="20"/>
  <c r="I10" i="23"/>
  <c r="I16" i="23"/>
  <c r="C18" i="23"/>
  <c r="G18" i="23" s="1"/>
  <c r="C26" i="23"/>
  <c r="G26" i="23"/>
  <c r="C13" i="24"/>
  <c r="G13" i="24" s="1"/>
  <c r="C17" i="24"/>
  <c r="G17" i="24" s="1"/>
  <c r="C25" i="24"/>
  <c r="G14" i="19"/>
  <c r="G18" i="19"/>
  <c r="G22" i="19"/>
  <c r="G26" i="19"/>
  <c r="G5" i="20"/>
  <c r="G9" i="20"/>
  <c r="G13" i="20"/>
  <c r="G17" i="20"/>
  <c r="C26" i="20"/>
  <c r="C17" i="23"/>
  <c r="I22" i="23"/>
  <c r="C6" i="24"/>
  <c r="D6" i="24" s="1"/>
  <c r="E6" i="24" s="1"/>
  <c r="K6" i="24" s="1"/>
  <c r="G14" i="24"/>
  <c r="I21" i="24"/>
  <c r="I29" i="24"/>
  <c r="G27" i="20"/>
  <c r="G8" i="23"/>
  <c r="I5" i="24"/>
  <c r="M5" i="24" s="1"/>
  <c r="C10" i="24"/>
  <c r="G10" i="24" s="1"/>
  <c r="G24" i="23"/>
  <c r="G11" i="24"/>
  <c r="G23" i="24"/>
  <c r="G7" i="24"/>
  <c r="G21" i="23"/>
  <c r="G25" i="23"/>
  <c r="G20" i="24"/>
  <c r="G24" i="24"/>
  <c r="G28" i="24"/>
  <c r="A3" i="7"/>
  <c r="A1" i="7"/>
  <c r="D7" i="24" l="1"/>
  <c r="E7" i="24" s="1"/>
  <c r="L6" i="24"/>
  <c r="G6" i="24"/>
  <c r="I17" i="24"/>
  <c r="I21" i="20"/>
  <c r="I18" i="20"/>
  <c r="I18" i="23"/>
  <c r="I20" i="19"/>
  <c r="I13" i="24"/>
  <c r="I22" i="24"/>
  <c r="I22" i="19"/>
  <c r="G17" i="23"/>
  <c r="I10" i="20"/>
  <c r="I12" i="19"/>
  <c r="I24" i="19"/>
  <c r="I7" i="24"/>
  <c r="M7" i="24" s="1"/>
  <c r="I23" i="24"/>
  <c r="I24" i="23"/>
  <c r="I8" i="23"/>
  <c r="I9" i="20"/>
  <c r="I18" i="19"/>
  <c r="I6" i="20"/>
  <c r="M6" i="20" s="1"/>
  <c r="G5" i="23"/>
  <c r="I13" i="19"/>
  <c r="I22" i="20"/>
  <c r="I12" i="20"/>
  <c r="I9" i="19"/>
  <c r="I8" i="20"/>
  <c r="I28" i="19"/>
  <c r="D8" i="19"/>
  <c r="E8" i="19" s="1"/>
  <c r="I26" i="23"/>
  <c r="K7" i="24"/>
  <c r="L7" i="24" s="1"/>
  <c r="D8" i="24"/>
  <c r="E8" i="24" s="1"/>
  <c r="I21" i="19"/>
  <c r="I25" i="23"/>
  <c r="I28" i="24"/>
  <c r="I21" i="23"/>
  <c r="I27" i="20"/>
  <c r="M6" i="24"/>
  <c r="I6" i="24"/>
  <c r="I5" i="20"/>
  <c r="M5" i="20" s="1"/>
  <c r="I14" i="19"/>
  <c r="I9" i="23"/>
  <c r="I16" i="20"/>
  <c r="I23" i="19"/>
  <c r="D7" i="20"/>
  <c r="E7" i="20" s="1"/>
  <c r="I7" i="19"/>
  <c r="M7" i="19" s="1"/>
  <c r="I20" i="24"/>
  <c r="I10" i="24"/>
  <c r="I13" i="20"/>
  <c r="K5" i="23"/>
  <c r="D6" i="23"/>
  <c r="E6" i="23" s="1"/>
  <c r="L5" i="23"/>
  <c r="I12" i="23"/>
  <c r="I24" i="24"/>
  <c r="I11" i="24"/>
  <c r="I14" i="24"/>
  <c r="I17" i="20"/>
  <c r="I26" i="19"/>
  <c r="G25" i="24"/>
  <c r="I14" i="20"/>
  <c r="I15" i="19"/>
  <c r="I5" i="19"/>
  <c r="M5" i="19" s="1"/>
  <c r="I23" i="23"/>
  <c r="G26" i="20"/>
  <c r="I19" i="20"/>
  <c r="I16" i="19"/>
  <c r="G11" i="19"/>
  <c r="K7" i="20" l="1"/>
  <c r="L7" i="20" s="1"/>
  <c r="M7" i="20" s="1"/>
  <c r="D8" i="20"/>
  <c r="E8" i="20" s="1"/>
  <c r="K8" i="24"/>
  <c r="L8" i="24" s="1"/>
  <c r="M8" i="24" s="1"/>
  <c r="D9" i="24"/>
  <c r="E9" i="24" s="1"/>
  <c r="I11" i="19"/>
  <c r="K6" i="23"/>
  <c r="L6" i="23" s="1"/>
  <c r="M6" i="23" s="1"/>
  <c r="D7" i="23"/>
  <c r="E7" i="23" s="1"/>
  <c r="K8" i="19"/>
  <c r="L8" i="19" s="1"/>
  <c r="M8" i="19" s="1"/>
  <c r="D9" i="19"/>
  <c r="E9" i="19" s="1"/>
  <c r="I17" i="23"/>
  <c r="I25" i="24"/>
  <c r="I5" i="23"/>
  <c r="M5" i="23" s="1"/>
  <c r="I26" i="20"/>
  <c r="K7" i="23" l="1"/>
  <c r="L7" i="23" s="1"/>
  <c r="M7" i="23" s="1"/>
  <c r="D8" i="23"/>
  <c r="E8" i="23" s="1"/>
  <c r="K9" i="24"/>
  <c r="L9" i="24" s="1"/>
  <c r="M9" i="24" s="1"/>
  <c r="D10" i="24"/>
  <c r="E10" i="24" s="1"/>
  <c r="K9" i="19"/>
  <c r="L9" i="19" s="1"/>
  <c r="M9" i="19" s="1"/>
  <c r="D10" i="19"/>
  <c r="E10" i="19" s="1"/>
  <c r="K8" i="20"/>
  <c r="L8" i="20" s="1"/>
  <c r="M8" i="20" s="1"/>
  <c r="D9" i="20"/>
  <c r="E9" i="20" s="1"/>
  <c r="K10" i="19" l="1"/>
  <c r="L10" i="19" s="1"/>
  <c r="M10" i="19" s="1"/>
  <c r="D11" i="19"/>
  <c r="E11" i="19" s="1"/>
  <c r="K8" i="23"/>
  <c r="L8" i="23" s="1"/>
  <c r="M8" i="23" s="1"/>
  <c r="D9" i="23"/>
  <c r="E9" i="23" s="1"/>
  <c r="K9" i="20"/>
  <c r="L9" i="20" s="1"/>
  <c r="M9" i="20" s="1"/>
  <c r="D10" i="20"/>
  <c r="E10" i="20" s="1"/>
  <c r="D11" i="24"/>
  <c r="E11" i="24" s="1"/>
  <c r="K10" i="24"/>
  <c r="L10" i="24" s="1"/>
  <c r="M10" i="24" s="1"/>
  <c r="K9" i="23" l="1"/>
  <c r="L9" i="23" s="1"/>
  <c r="M9" i="23" s="1"/>
  <c r="D10" i="23"/>
  <c r="E10" i="23" s="1"/>
  <c r="K11" i="24"/>
  <c r="L11" i="24" s="1"/>
  <c r="M11" i="24" s="1"/>
  <c r="D12" i="24"/>
  <c r="E12" i="24" s="1"/>
  <c r="K10" i="20"/>
  <c r="L10" i="20" s="1"/>
  <c r="M10" i="20" s="1"/>
  <c r="D11" i="20"/>
  <c r="E11" i="20" s="1"/>
  <c r="K11" i="19"/>
  <c r="L11" i="19" s="1"/>
  <c r="M11" i="19" s="1"/>
  <c r="D12" i="19"/>
  <c r="E12" i="19" s="1"/>
  <c r="K12" i="19" l="1"/>
  <c r="L12" i="19" s="1"/>
  <c r="M12" i="19" s="1"/>
  <c r="D13" i="19"/>
  <c r="E13" i="19" s="1"/>
  <c r="K11" i="20"/>
  <c r="L11" i="20" s="1"/>
  <c r="M11" i="20" s="1"/>
  <c r="D12" i="20"/>
  <c r="E12" i="20" s="1"/>
  <c r="K10" i="23"/>
  <c r="L10" i="23" s="1"/>
  <c r="M10" i="23" s="1"/>
  <c r="D11" i="23"/>
  <c r="E11" i="23" s="1"/>
  <c r="K12" i="24"/>
  <c r="L12" i="24" s="1"/>
  <c r="M12" i="24" s="1"/>
  <c r="D13" i="24"/>
  <c r="E13" i="24" s="1"/>
  <c r="K12" i="20" l="1"/>
  <c r="L12" i="20" s="1"/>
  <c r="M12" i="20" s="1"/>
  <c r="D13" i="20"/>
  <c r="E13" i="20" s="1"/>
  <c r="K11" i="23"/>
  <c r="L11" i="23" s="1"/>
  <c r="M11" i="23" s="1"/>
  <c r="D12" i="23"/>
  <c r="E12" i="23" s="1"/>
  <c r="K13" i="19"/>
  <c r="L13" i="19" s="1"/>
  <c r="M13" i="19" s="1"/>
  <c r="D14" i="19"/>
  <c r="E14" i="19" s="1"/>
  <c r="K13" i="24"/>
  <c r="L13" i="24" s="1"/>
  <c r="M13" i="24" s="1"/>
  <c r="D14" i="24"/>
  <c r="E14" i="24" s="1"/>
  <c r="D15" i="24" l="1"/>
  <c r="E15" i="24" s="1"/>
  <c r="K14" i="24"/>
  <c r="L14" i="24" s="1"/>
  <c r="M14" i="24" s="1"/>
  <c r="K14" i="19"/>
  <c r="L14" i="19" s="1"/>
  <c r="M14" i="19" s="1"/>
  <c r="D15" i="19"/>
  <c r="E15" i="19" s="1"/>
  <c r="K13" i="20"/>
  <c r="L13" i="20" s="1"/>
  <c r="M13" i="20" s="1"/>
  <c r="D14" i="20"/>
  <c r="E14" i="20" s="1"/>
  <c r="K12" i="23"/>
  <c r="L12" i="23" s="1"/>
  <c r="M12" i="23" s="1"/>
  <c r="D13" i="23"/>
  <c r="E13" i="23" s="1"/>
  <c r="K15" i="19" l="1"/>
  <c r="L15" i="19" s="1"/>
  <c r="M15" i="19" s="1"/>
  <c r="D16" i="19"/>
  <c r="E16" i="19" s="1"/>
  <c r="K14" i="20"/>
  <c r="L14" i="20" s="1"/>
  <c r="M14" i="20" s="1"/>
  <c r="D15" i="20"/>
  <c r="E15" i="20" s="1"/>
  <c r="K13" i="23"/>
  <c r="L13" i="23" s="1"/>
  <c r="M13" i="23" s="1"/>
  <c r="D14" i="23"/>
  <c r="E14" i="23" s="1"/>
  <c r="K15" i="24"/>
  <c r="L15" i="24" s="1"/>
  <c r="M15" i="24" s="1"/>
  <c r="D16" i="24"/>
  <c r="E16" i="24" s="1"/>
  <c r="K15" i="20" l="1"/>
  <c r="L15" i="20" s="1"/>
  <c r="M15" i="20" s="1"/>
  <c r="D16" i="20"/>
  <c r="E16" i="20" s="1"/>
  <c r="K14" i="23"/>
  <c r="L14" i="23" s="1"/>
  <c r="M14" i="23" s="1"/>
  <c r="D15" i="23"/>
  <c r="E15" i="23" s="1"/>
  <c r="K16" i="19"/>
  <c r="L16" i="19" s="1"/>
  <c r="M16" i="19" s="1"/>
  <c r="D17" i="19"/>
  <c r="E17" i="19" s="1"/>
  <c r="K16" i="24"/>
  <c r="L16" i="24" s="1"/>
  <c r="M16" i="24" s="1"/>
  <c r="D17" i="24"/>
  <c r="E17" i="24" s="1"/>
  <c r="K17" i="24" l="1"/>
  <c r="L17" i="24" s="1"/>
  <c r="M17" i="24" s="1"/>
  <c r="D18" i="24"/>
  <c r="E18" i="24" s="1"/>
  <c r="K17" i="19"/>
  <c r="L17" i="19" s="1"/>
  <c r="M17" i="19" s="1"/>
  <c r="D18" i="19"/>
  <c r="E18" i="19" s="1"/>
  <c r="K16" i="20"/>
  <c r="L16" i="20" s="1"/>
  <c r="M16" i="20" s="1"/>
  <c r="D17" i="20"/>
  <c r="E17" i="20" s="1"/>
  <c r="K15" i="23"/>
  <c r="L15" i="23" s="1"/>
  <c r="M15" i="23" s="1"/>
  <c r="D16" i="23"/>
  <c r="E16" i="23" s="1"/>
  <c r="K18" i="19" l="1"/>
  <c r="L18" i="19" s="1"/>
  <c r="M18" i="19" s="1"/>
  <c r="D19" i="19"/>
  <c r="E19" i="19" s="1"/>
  <c r="K16" i="23"/>
  <c r="L16" i="23" s="1"/>
  <c r="M16" i="23" s="1"/>
  <c r="D17" i="23"/>
  <c r="E17" i="23" s="1"/>
  <c r="K17" i="20"/>
  <c r="L17" i="20" s="1"/>
  <c r="M17" i="20" s="1"/>
  <c r="D18" i="20"/>
  <c r="E18" i="20" s="1"/>
  <c r="K18" i="24"/>
  <c r="L18" i="24" s="1"/>
  <c r="M18" i="24" s="1"/>
  <c r="D19" i="24"/>
  <c r="E19" i="24" s="1"/>
  <c r="K17" i="23" l="1"/>
  <c r="L17" i="23" s="1"/>
  <c r="M17" i="23" s="1"/>
  <c r="D18" i="23"/>
  <c r="E18" i="23" s="1"/>
  <c r="K18" i="20"/>
  <c r="L18" i="20" s="1"/>
  <c r="M18" i="20" s="1"/>
  <c r="D19" i="20"/>
  <c r="E19" i="20" s="1"/>
  <c r="K19" i="19"/>
  <c r="L19" i="19" s="1"/>
  <c r="M19" i="19" s="1"/>
  <c r="D20" i="19"/>
  <c r="E20" i="19" s="1"/>
  <c r="K19" i="24"/>
  <c r="L19" i="24" s="1"/>
  <c r="M19" i="24" s="1"/>
  <c r="D20" i="24"/>
  <c r="E20" i="24" s="1"/>
  <c r="K19" i="20" l="1"/>
  <c r="L19" i="20" s="1"/>
  <c r="M19" i="20" s="1"/>
  <c r="D20" i="20"/>
  <c r="E20" i="20" s="1"/>
  <c r="K20" i="24"/>
  <c r="L20" i="24" s="1"/>
  <c r="M20" i="24" s="1"/>
  <c r="D21" i="24"/>
  <c r="E21" i="24" s="1"/>
  <c r="K20" i="19"/>
  <c r="L20" i="19" s="1"/>
  <c r="M20" i="19" s="1"/>
  <c r="D21" i="19"/>
  <c r="E21" i="19" s="1"/>
  <c r="K18" i="23"/>
  <c r="L18" i="23" s="1"/>
  <c r="M18" i="23" s="1"/>
  <c r="D19" i="23"/>
  <c r="E19" i="23" s="1"/>
  <c r="K21" i="24" l="1"/>
  <c r="L21" i="24" s="1"/>
  <c r="M21" i="24" s="1"/>
  <c r="D22" i="24"/>
  <c r="E22" i="24" s="1"/>
  <c r="K21" i="19"/>
  <c r="L21" i="19" s="1"/>
  <c r="M21" i="19" s="1"/>
  <c r="D22" i="19"/>
  <c r="E22" i="19" s="1"/>
  <c r="K20" i="20"/>
  <c r="L20" i="20" s="1"/>
  <c r="M20" i="20" s="1"/>
  <c r="D21" i="20"/>
  <c r="E21" i="20" s="1"/>
  <c r="K19" i="23"/>
  <c r="L19" i="23" s="1"/>
  <c r="M19" i="23" s="1"/>
  <c r="D20" i="23"/>
  <c r="E20" i="23" s="1"/>
  <c r="K22" i="19" l="1"/>
  <c r="L22" i="19" s="1"/>
  <c r="M22" i="19" s="1"/>
  <c r="D23" i="19"/>
  <c r="E23" i="19" s="1"/>
  <c r="K21" i="20"/>
  <c r="L21" i="20" s="1"/>
  <c r="M21" i="20" s="1"/>
  <c r="D22" i="20"/>
  <c r="E22" i="20" s="1"/>
  <c r="D23" i="24"/>
  <c r="E23" i="24" s="1"/>
  <c r="K22" i="24"/>
  <c r="L22" i="24" s="1"/>
  <c r="M22" i="24" s="1"/>
  <c r="K20" i="23"/>
  <c r="L20" i="23" s="1"/>
  <c r="M20" i="23" s="1"/>
  <c r="D21" i="23"/>
  <c r="E21" i="23" s="1"/>
  <c r="K21" i="23" l="1"/>
  <c r="L21" i="23" s="1"/>
  <c r="M21" i="23" s="1"/>
  <c r="D22" i="23"/>
  <c r="E22" i="23" s="1"/>
  <c r="K23" i="19"/>
  <c r="L23" i="19" s="1"/>
  <c r="M23" i="19" s="1"/>
  <c r="D24" i="19"/>
  <c r="E24" i="19" s="1"/>
  <c r="K22" i="20"/>
  <c r="L22" i="20" s="1"/>
  <c r="M22" i="20" s="1"/>
  <c r="D23" i="20"/>
  <c r="E23" i="20" s="1"/>
  <c r="K23" i="24"/>
  <c r="L23" i="24" s="1"/>
  <c r="M23" i="24" s="1"/>
  <c r="D24" i="24"/>
  <c r="E24" i="24" s="1"/>
  <c r="K24" i="24" l="1"/>
  <c r="L24" i="24" s="1"/>
  <c r="M24" i="24" s="1"/>
  <c r="D25" i="24"/>
  <c r="E25" i="24" s="1"/>
  <c r="K23" i="20"/>
  <c r="L23" i="20" s="1"/>
  <c r="M23" i="20" s="1"/>
  <c r="D24" i="20"/>
  <c r="E24" i="20" s="1"/>
  <c r="K22" i="23"/>
  <c r="L22" i="23" s="1"/>
  <c r="M22" i="23" s="1"/>
  <c r="D23" i="23"/>
  <c r="E23" i="23" s="1"/>
  <c r="K24" i="19"/>
  <c r="L24" i="19" s="1"/>
  <c r="M24" i="19" s="1"/>
  <c r="D25" i="19"/>
  <c r="E25" i="19" s="1"/>
  <c r="K24" i="20" l="1"/>
  <c r="L24" i="20" s="1"/>
  <c r="M24" i="20" s="1"/>
  <c r="D25" i="20"/>
  <c r="E25" i="20" s="1"/>
  <c r="K25" i="19"/>
  <c r="L25" i="19" s="1"/>
  <c r="M25" i="19" s="1"/>
  <c r="D26" i="19"/>
  <c r="E26" i="19" s="1"/>
  <c r="D24" i="23"/>
  <c r="E24" i="23" s="1"/>
  <c r="K23" i="23"/>
  <c r="L23" i="23" s="1"/>
  <c r="M23" i="23" s="1"/>
  <c r="K25" i="24"/>
  <c r="L25" i="24" s="1"/>
  <c r="M25" i="24" s="1"/>
  <c r="D26" i="24"/>
  <c r="E26" i="24" s="1"/>
  <c r="K26" i="24" l="1"/>
  <c r="L26" i="24" s="1"/>
  <c r="M26" i="24" s="1"/>
  <c r="D27" i="24"/>
  <c r="E27" i="24" s="1"/>
  <c r="K25" i="20"/>
  <c r="L25" i="20" s="1"/>
  <c r="M25" i="20" s="1"/>
  <c r="D26" i="20"/>
  <c r="E26" i="20" s="1"/>
  <c r="K26" i="19"/>
  <c r="L26" i="19" s="1"/>
  <c r="M26" i="19" s="1"/>
  <c r="D27" i="19"/>
  <c r="E27" i="19" s="1"/>
  <c r="K24" i="23"/>
  <c r="L24" i="23" s="1"/>
  <c r="M24" i="23" s="1"/>
  <c r="D25" i="23"/>
  <c r="E25" i="23" s="1"/>
  <c r="K26" i="20" l="1"/>
  <c r="L26" i="20" s="1"/>
  <c r="M26" i="20" s="1"/>
  <c r="D27" i="20"/>
  <c r="E27" i="20" s="1"/>
  <c r="K27" i="19"/>
  <c r="L27" i="19" s="1"/>
  <c r="M27" i="19" s="1"/>
  <c r="D28" i="19"/>
  <c r="E28" i="19" s="1"/>
  <c r="K27" i="24"/>
  <c r="L27" i="24" s="1"/>
  <c r="M27" i="24" s="1"/>
  <c r="D28" i="24"/>
  <c r="E28" i="24" s="1"/>
  <c r="K25" i="23"/>
  <c r="L25" i="23" s="1"/>
  <c r="M25" i="23" s="1"/>
  <c r="D26" i="23"/>
  <c r="E26" i="23" s="1"/>
  <c r="K28" i="19" l="1"/>
  <c r="L28" i="19" s="1"/>
  <c r="M28" i="19" s="1"/>
  <c r="D29" i="19"/>
  <c r="E29" i="19" s="1"/>
  <c r="K29" i="19" s="1"/>
  <c r="L29" i="19" s="1"/>
  <c r="M29" i="19" s="1"/>
  <c r="K26" i="23"/>
  <c r="L26" i="23" s="1"/>
  <c r="M26" i="23" s="1"/>
  <c r="D27" i="23"/>
  <c r="E27" i="23" s="1"/>
  <c r="K28" i="24"/>
  <c r="L28" i="24" s="1"/>
  <c r="M28" i="24" s="1"/>
  <c r="D29" i="24"/>
  <c r="E29" i="24" s="1"/>
  <c r="K29" i="24" s="1"/>
  <c r="L29" i="24" s="1"/>
  <c r="M29" i="24" s="1"/>
  <c r="K27" i="20"/>
  <c r="L27" i="20" s="1"/>
  <c r="M27" i="20" s="1"/>
  <c r="D28" i="20"/>
  <c r="E28" i="20" s="1"/>
  <c r="K28" i="20" l="1"/>
  <c r="L28" i="20" s="1"/>
  <c r="M28" i="20" s="1"/>
  <c r="D29" i="20"/>
  <c r="E29" i="20" s="1"/>
  <c r="K29" i="20" s="1"/>
  <c r="L29" i="20" s="1"/>
  <c r="M29" i="20" s="1"/>
  <c r="K27" i="23"/>
  <c r="L27" i="23" s="1"/>
  <c r="M27" i="23" s="1"/>
  <c r="D28" i="23"/>
  <c r="E28" i="23" s="1"/>
  <c r="K28" i="23" l="1"/>
  <c r="L28" i="23" s="1"/>
  <c r="M28" i="23" s="1"/>
  <c r="D29" i="23"/>
  <c r="E29" i="23" s="1"/>
  <c r="K29" i="23" s="1"/>
  <c r="L29" i="23" s="1"/>
  <c r="M2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<sst xmlns="http://schemas.openxmlformats.org/spreadsheetml/2006/main" count="374" uniqueCount="169">
  <si>
    <t>Please note:</t>
  </si>
  <si>
    <t>Completing your assignment</t>
  </si>
  <si>
    <t>If you are having your assignment marked by ActEd, please follow these instructions carefully:</t>
  </si>
  <si>
    <t>Submission for marking</t>
  </si>
  <si>
    <t>Submitted assignments will not be marked if any of the files are suspected to have been affected by a computer virus or to have been corrupted.</t>
  </si>
  <si>
    <t xml:space="preserve">Time to do assignment  (see Note below): </t>
  </si>
  <si>
    <t xml:space="preserve">Completed your ActEd Student Number in the box above? </t>
  </si>
  <si>
    <t>–   </t>
  </si>
  <si>
    <t>Assignment marking is not included in the price of the course materials.  Please purchase Series Y Marking or a Marking Voucher before submitting your script.</t>
  </si>
  <si>
    <t>Enter the information required in the 'Details' worksheet.</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</si>
  <si>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</si>
  <si>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</si>
  <si>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</si>
  <si>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Are you allowed extra time or other special conditions in the profession’s exams</t>
  </si>
  <si>
    <t>(if you wish to share this information)?</t>
  </si>
  <si>
    <t>Begin your answer to each part of each question in the appropriate sheet (tab).  Some of these sheets include an example layout for your workings, but you may choose to use an alternative layout.</t>
  </si>
  <si>
    <t>There is an 'Answers' sheet for each question. Your final answers should be put on these sheets in the cells indicated.</t>
  </si>
  <si>
    <r>
      <t>the time allowed for this assignment is 1¾</t>
    </r>
    <r>
      <rPr>
        <sz val="11"/>
        <color theme="1"/>
        <rFont val="Calibri"/>
        <family val="2"/>
        <scheme val="minor"/>
      </rPr>
      <t xml:space="preserve"> hours</t>
    </r>
  </si>
  <si>
    <r>
      <rPr>
        <b/>
        <sz val="11"/>
        <color rgb="FF000000"/>
        <rFont val="Calibri"/>
        <family val="2"/>
        <scheme val="minor"/>
      </rPr>
      <t xml:space="preserve">Enter your answers in this Excel document. </t>
    </r>
    <r>
      <rPr>
        <sz val="11"/>
        <color rgb="FF000000"/>
        <rFont val="Calibri"/>
        <family val="2"/>
        <scheme val="minor"/>
      </rPr>
      <t xml:space="preserve"> </t>
    </r>
  </si>
  <si>
    <t>Filled in the 'Answers' sheet for each question?</t>
  </si>
  <si>
    <t>Q1 Summary of answers</t>
  </si>
  <si>
    <t>We only accept Excel files produced in Office 2010 or later.</t>
  </si>
  <si>
    <r>
      <t xml:space="preserve">Subject CM1: Assignment </t>
    </r>
    <r>
      <rPr>
        <b/>
        <sz val="20"/>
        <rFont val="Calibri"/>
        <family val="2"/>
        <scheme val="minor"/>
      </rPr>
      <t>Y2</t>
    </r>
  </si>
  <si>
    <t>AM92 Mortality table</t>
  </si>
  <si>
    <t>Age</t>
  </si>
  <si>
    <t>l[x]</t>
  </si>
  <si>
    <t>l[x-1]+1</t>
  </si>
  <si>
    <t>lx</t>
  </si>
  <si>
    <t>q[x]</t>
  </si>
  <si>
    <t>q[x-1]+1</t>
  </si>
  <si>
    <t>qx</t>
  </si>
  <si>
    <t>Inputs</t>
  </si>
  <si>
    <t>Policy term</t>
  </si>
  <si>
    <t xml:space="preserve">Annual premium </t>
  </si>
  <si>
    <t>Survival benefit</t>
  </si>
  <si>
    <t>Death benefit in year 1</t>
  </si>
  <si>
    <r>
      <t>The death benefit in later years is 5,000*(1+</t>
    </r>
    <r>
      <rPr>
        <i/>
        <sz val="11"/>
        <color theme="1"/>
        <rFont val="Calibri"/>
        <family val="2"/>
        <scheme val="minor"/>
      </rPr>
      <t>t</t>
    </r>
    <r>
      <rPr>
        <sz val="11"/>
        <color theme="1"/>
        <rFont val="Calibri"/>
        <family val="2"/>
        <scheme val="minor"/>
      </rPr>
      <t>), where</t>
    </r>
    <r>
      <rPr>
        <i/>
        <sz val="11"/>
        <color theme="1"/>
        <rFont val="Calibri"/>
        <family val="2"/>
        <scheme val="minor"/>
      </rPr>
      <t xml:space="preserve"> t</t>
    </r>
    <r>
      <rPr>
        <sz val="11"/>
        <color theme="1"/>
        <rFont val="Calibri"/>
        <family val="2"/>
        <scheme val="minor"/>
      </rPr>
      <t xml:space="preserve"> = curtate duration of the policy in years at time of death.</t>
    </r>
  </si>
  <si>
    <t>Surrender multiple</t>
  </si>
  <si>
    <t>of total premiums paid at date of surrender</t>
  </si>
  <si>
    <t>Marriage multiple</t>
  </si>
  <si>
    <t>of total premiums paid at date of marriage</t>
  </si>
  <si>
    <t>Assumptions - reserving and profit testing basis</t>
  </si>
  <si>
    <t>Initial expenses</t>
  </si>
  <si>
    <t>incurred at the start of year 1</t>
  </si>
  <si>
    <t>Renewal expenses</t>
  </si>
  <si>
    <t>incurred at the start of each year except the first, plus inflation applying from policy outset</t>
  </si>
  <si>
    <t>Renewal expenses inflation</t>
  </si>
  <si>
    <r>
      <t>per annum (</t>
    </r>
    <r>
      <rPr>
        <i/>
        <sz val="11"/>
        <color theme="1"/>
        <rFont val="Calibri"/>
        <family val="2"/>
        <scheme val="minor"/>
      </rPr>
      <t>ie</t>
    </r>
    <r>
      <rPr>
        <sz val="11"/>
        <color theme="1"/>
        <rFont val="Calibri"/>
        <family val="2"/>
        <scheme val="minor"/>
      </rPr>
      <t xml:space="preserve"> the renewal expenses payable at time 1 are 50*1.015)</t>
    </r>
  </si>
  <si>
    <t>Initial commission</t>
  </si>
  <si>
    <t>of the first premium</t>
  </si>
  <si>
    <t>Renewal commission</t>
  </si>
  <si>
    <t>of the second and subsequent annual premiums</t>
  </si>
  <si>
    <t>Force of surrender in year 1</t>
  </si>
  <si>
    <t>Force of marriage in year 1</t>
  </si>
  <si>
    <r>
      <t xml:space="preserve">Interest on cashflows - </t>
    </r>
    <r>
      <rPr>
        <b/>
        <sz val="11"/>
        <color theme="1"/>
        <rFont val="Calibri"/>
        <family val="2"/>
        <scheme val="minor"/>
      </rPr>
      <t>profit testing basis</t>
    </r>
  </si>
  <si>
    <t>per annum</t>
  </si>
  <si>
    <r>
      <t xml:space="preserve">Interest on cashflows - </t>
    </r>
    <r>
      <rPr>
        <b/>
        <sz val="11"/>
        <color theme="1"/>
        <rFont val="Calibri"/>
        <family val="2"/>
        <scheme val="minor"/>
      </rPr>
      <t>reserving basis</t>
    </r>
  </si>
  <si>
    <t>(i) Dependent probabilities of decrement</t>
  </si>
  <si>
    <t>PROFIT TESTING BASIS</t>
  </si>
  <si>
    <t>Surrender</t>
  </si>
  <si>
    <t>Marriage</t>
  </si>
  <si>
    <t>RESERVING BASIS</t>
  </si>
  <si>
    <t>First year values</t>
  </si>
  <si>
    <t>Forces of decrement</t>
  </si>
  <si>
    <t>Total</t>
  </si>
  <si>
    <t>Prob of</t>
  </si>
  <si>
    <t>Dependent probabilities of decrement</t>
  </si>
  <si>
    <t>Year</t>
  </si>
  <si>
    <t>Mortality</t>
  </si>
  <si>
    <t>force</t>
  </si>
  <si>
    <t>staying: (ap)x</t>
  </si>
  <si>
    <t>(ii) Expected cashflows and reserves on the reserving basis</t>
  </si>
  <si>
    <t>Premium</t>
  </si>
  <si>
    <t>Expenses</t>
  </si>
  <si>
    <t>Commission</t>
  </si>
  <si>
    <t>Interest</t>
  </si>
  <si>
    <t xml:space="preserve">Mortality </t>
  </si>
  <si>
    <t>Death</t>
  </si>
  <si>
    <t>Expected</t>
  </si>
  <si>
    <t>Maturity</t>
  </si>
  <si>
    <t>In-force expected</t>
  </si>
  <si>
    <t>Reserves at</t>
  </si>
  <si>
    <t>rate</t>
  </si>
  <si>
    <t>earned</t>
  </si>
  <si>
    <t>probability</t>
  </si>
  <si>
    <t xml:space="preserve"> benefit</t>
  </si>
  <si>
    <t>death claims</t>
  </si>
  <si>
    <t>benefit</t>
  </si>
  <si>
    <t>surrender claims</t>
  </si>
  <si>
    <t>marriage claims</t>
  </si>
  <si>
    <t>maturity claims</t>
  </si>
  <si>
    <t>cashflow</t>
  </si>
  <si>
    <t>start of yr</t>
  </si>
  <si>
    <t xml:space="preserve">(iii) Profit test calculations </t>
  </si>
  <si>
    <t>(iv) Comments</t>
  </si>
  <si>
    <t>(v) Internal rate of return</t>
  </si>
  <si>
    <t>(iii)(b)</t>
  </si>
  <si>
    <t>(v)</t>
  </si>
  <si>
    <t>First year allocation percentage</t>
  </si>
  <si>
    <t xml:space="preserve"> =A</t>
  </si>
  <si>
    <t>Bid-offer spread</t>
  </si>
  <si>
    <t xml:space="preserve"> =BO</t>
  </si>
  <si>
    <t>Guaranteed minimum death benefit</t>
  </si>
  <si>
    <t xml:space="preserve"> =D</t>
  </si>
  <si>
    <t>Level annual premium</t>
  </si>
  <si>
    <t xml:space="preserve"> =P</t>
  </si>
  <si>
    <r>
      <t xml:space="preserve">Unit growth rate </t>
    </r>
    <r>
      <rPr>
        <i/>
        <sz val="11"/>
        <color theme="1"/>
        <rFont val="Calibri"/>
        <family val="2"/>
        <scheme val="minor"/>
      </rPr>
      <t>pa</t>
    </r>
  </si>
  <si>
    <t xml:space="preserve"> =ResUG</t>
  </si>
  <si>
    <t xml:space="preserve"> =ProUG</t>
  </si>
  <si>
    <r>
      <t xml:space="preserve">Non-unit interest rate </t>
    </r>
    <r>
      <rPr>
        <i/>
        <sz val="11"/>
        <color theme="1"/>
        <rFont val="Calibri"/>
        <family val="2"/>
        <scheme val="minor"/>
      </rPr>
      <t>pa</t>
    </r>
  </si>
  <si>
    <t xml:space="preserve"> =ResINT</t>
  </si>
  <si>
    <t xml:space="preserve"> =ProINT</t>
  </si>
  <si>
    <t xml:space="preserve"> =ResIE</t>
  </si>
  <si>
    <t xml:space="preserve"> =ProIE</t>
  </si>
  <si>
    <r>
      <t xml:space="preserve">Renewal expenses </t>
    </r>
    <r>
      <rPr>
        <i/>
        <sz val="11"/>
        <color theme="1"/>
        <rFont val="Calibri"/>
        <family val="2"/>
        <scheme val="minor"/>
      </rPr>
      <t>pa</t>
    </r>
  </si>
  <si>
    <t xml:space="preserve"> =ResRE</t>
  </si>
  <si>
    <t xml:space="preserve"> =ProRE</t>
  </si>
  <si>
    <r>
      <t xml:space="preserve">Renewal expenses inflation </t>
    </r>
    <r>
      <rPr>
        <i/>
        <sz val="11"/>
        <color theme="1"/>
        <rFont val="Calibri"/>
        <family val="2"/>
        <scheme val="minor"/>
      </rPr>
      <t>pa</t>
    </r>
  </si>
  <si>
    <t xml:space="preserve"> =ResINF</t>
  </si>
  <si>
    <t xml:space="preserve"> =ProINF</t>
  </si>
  <si>
    <t>AM92 Ultimate</t>
  </si>
  <si>
    <t>Mortality factor (applied to qx values)</t>
  </si>
  <si>
    <t xml:space="preserve"> =ResMM</t>
  </si>
  <si>
    <t xml:space="preserve"> =ProMM</t>
  </si>
  <si>
    <t>Reserves</t>
  </si>
  <si>
    <t>UNIT FUND PROJECTION</t>
  </si>
  <si>
    <t>NON-UNIT CASHFLOW PROJECTION</t>
  </si>
  <si>
    <t>Cost of</t>
  </si>
  <si>
    <t>Unit fund at</t>
  </si>
  <si>
    <t>Prem less</t>
  </si>
  <si>
    <t>Sum at risk</t>
  </si>
  <si>
    <t>Non-unit</t>
  </si>
  <si>
    <t>allocation</t>
  </si>
  <si>
    <t>Start of yr</t>
  </si>
  <si>
    <t>End of yr</t>
  </si>
  <si>
    <t>cost of alln</t>
  </si>
  <si>
    <t>on death</t>
  </si>
  <si>
    <t>death cost</t>
  </si>
  <si>
    <t>Profit test</t>
  </si>
  <si>
    <t>(i) Graphs of non-unit cashflows</t>
  </si>
  <si>
    <t>Non-unit cashflow on</t>
  </si>
  <si>
    <t>reserving basis</t>
  </si>
  <si>
    <t>profit testing basis</t>
  </si>
  <si>
    <t>(ii) Comments on graphs</t>
  </si>
  <si>
    <t>(iii) Non-unit reserves</t>
  </si>
  <si>
    <t>(iv) Profit vector allowing for non-unit reserves and graph of profit vector</t>
  </si>
  <si>
    <t>(v) Effect of setting up non-unit reserves</t>
  </si>
  <si>
    <t>(vi) Reserves required for calculating the first year allocation rate to give an internal rate of return of 10% pa</t>
  </si>
  <si>
    <r>
      <t xml:space="preserve">(vi) Calculating the first year allocation rate to give an internal rate of return of 10% </t>
    </r>
    <r>
      <rPr>
        <i/>
        <sz val="16"/>
        <color theme="1"/>
        <rFont val="Calibri"/>
        <family val="2"/>
        <scheme val="minor"/>
      </rPr>
      <t>pa</t>
    </r>
  </si>
  <si>
    <t>Q2 Summary of answers</t>
  </si>
  <si>
    <t>(vi)(b)</t>
  </si>
  <si>
    <t>you should attempt all of the questions.</t>
  </si>
  <si>
    <t>If Yes, you can provide further information on the extra time / other conditions if you wish:</t>
  </si>
  <si>
    <t>Entered your answers at the end of this document, starting each question part on a new sheet?</t>
  </si>
  <si>
    <t>Have you used the solutions to this assignment?</t>
  </si>
  <si>
    <t xml:space="preserve">Recorded your time taken and whether you have solutions? </t>
  </si>
  <si>
    <t>staying</t>
  </si>
  <si>
    <t>leaving</t>
  </si>
  <si>
    <t>Submit your completed Excel file to The Hub, following the instructions given at the start of the question document.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</si>
  <si>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Products, Marking Deadlines), unless you are using a Marking Voucher.</t>
    </r>
  </si>
  <si>
    <t>If you are using a Marking Voucher, then please make sure that you submit your script by the Marking Voucher deadline date to give us enough time to mark and return the script before the exam.</t>
  </si>
  <si>
    <t>Save this document with the title ‘CM1 Assignment Y2 2024 Answers 12345’, inserting your ActEd Student Number for 12345.  Failing to do this will delay your marking.</t>
  </si>
  <si>
    <t>ActEd Student Number:</t>
  </si>
  <si>
    <t>Checked that you have a valid Marking Voucher or have ordered Series Y Marking?</t>
  </si>
  <si>
    <t>Replaced '12345' with your ActEd Student Number in the title of this file?</t>
  </si>
  <si>
    <t>2025 Examinations</t>
  </si>
  <si>
    <t>We only accept the current version of assignments for marking, and so you can only submit this assignment in the sessions leading to the 2025 exams.</t>
  </si>
  <si>
    <r>
      <t xml:space="preserve">Checked that you are using the latest version of the assignments, </t>
    </r>
    <r>
      <rPr>
        <i/>
        <sz val="10"/>
        <rFont val="Calibri"/>
        <family val="2"/>
        <scheme val="minor"/>
      </rPr>
      <t>ie</t>
    </r>
    <r>
      <rPr>
        <sz val="10"/>
        <rFont val="Calibri"/>
        <family val="2"/>
        <scheme val="minor"/>
      </rPr>
      <t xml:space="preserve"> 2025 for the sessions leading to the 2025 exams?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</si>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</sst>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 ##0"/>
    <numFmt numFmtId="165" formatCode="#,##0.0000"/>
    <numFmt numFmtId="166" formatCode="0.000000"/>
    <numFmt numFmtId="167" formatCode="0.0%"/>
    <numFmt numFmtId="168" formatCode="0.0000"/>
    <numFmt numFmtId="169" formatCode="#,##0.000000"/>
  </numFmts>
  <fonts count="24" x14ac:knownFonts="1">
    <font>
      <sz val="11"/>
      <color theme="1"/>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sz val="11"/>
      <color rgb="FF000000"/>
      <name val="Calibri"/>
      <family val="2"/>
      <scheme val="minor"/>
    </font>
    <font>
      <b/>
      <sz val="10"/>
      <color theme="1"/>
      <name val="Calibri"/>
      <family val="2"/>
      <scheme val="minor"/>
    </font>
    <font>
      <sz val="10"/>
      <color theme="1"/>
      <name val="Calibri"/>
      <family val="2"/>
      <scheme val="minor"/>
    </font>
    <font>
      <sz val="9"/>
      <color indexed="81"/>
      <name val="Tahoma"/>
      <family val="2"/>
    </font>
    <font>
      <b/>
      <sz val="11"/>
      <color rgb="FF000000"/>
      <name val="Calibri"/>
      <family val="2"/>
      <scheme val="minor"/>
    </font>
    <font>
      <sz val="8"/>
      <color rgb="FF000000"/>
      <name val="Segoe UI"/>
      <family val="2"/>
    </font>
    <font>
      <sz val="11"/>
      <color theme="1"/>
      <name val="Calibri"/>
      <family val="2"/>
      <scheme val="minor"/>
    </font>
    <font>
      <sz val="10"/>
      <name val="Arial"/>
      <family val="2"/>
    </font>
    <font>
      <b/>
      <sz val="20"/>
      <color rgb="FF000000"/>
      <name val="Calibri"/>
      <family val="2"/>
      <scheme val="minor"/>
    </font>
    <font>
      <b/>
      <sz val="18"/>
      <color rgb="FF000000"/>
      <name val="Calibri"/>
      <family val="2"/>
      <scheme val="minor"/>
    </font>
    <font>
      <sz val="11"/>
      <color rgb="FFFF0000"/>
      <name val="Calibri"/>
      <family val="2"/>
      <scheme val="minor"/>
    </font>
    <font>
      <b/>
      <sz val="20"/>
      <name val="Calibri"/>
      <family val="2"/>
      <scheme val="minor"/>
    </font>
    <font>
      <b/>
      <sz val="11"/>
      <name val="Calibri"/>
      <family val="2"/>
      <scheme val="minor"/>
    </font>
    <font>
      <sz val="16"/>
      <color theme="1"/>
      <name val="Calibri"/>
      <family val="2"/>
      <scheme val="minor"/>
    </font>
    <font>
      <b/>
      <sz val="18"/>
      <name val="Calibri"/>
      <family val="2"/>
      <scheme val="minor"/>
    </font>
    <font>
      <sz val="11"/>
      <name val="Calibri"/>
      <family val="2"/>
      <scheme val="minor"/>
    </font>
    <font>
      <sz val="10"/>
      <name val="Calibri"/>
      <family val="2"/>
      <scheme val="minor"/>
    </font>
    <font>
      <i/>
      <sz val="10"/>
      <name val="Calibri"/>
      <family val="2"/>
      <scheme val="minor"/>
    </font>
    <font>
      <i/>
      <sz val="11"/>
      <color theme="1"/>
      <name val="Calibri"/>
      <family val="2"/>
      <scheme val="minor"/>
    </font>
    <font>
      <i/>
      <sz val="16"/>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91C6F7"/>
        <bgColor indexed="64"/>
      </patternFill>
    </fill>
    <fill>
      <patternFill patternType="solid">
        <fgColor theme="5" tint="0.79998168889431442"/>
        <bgColor indexed="64"/>
      </patternFill>
    </fill>
  </fills>
  <borders count="20">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7">
    <xf numFmtId="0" fontId="0" fillId="0" borderId="0"/>
    <xf numFmtId="43" fontId="10"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9" fontId="10" fillId="0" borderId="0" applyFont="0" applyFill="0" applyBorder="0" applyAlignment="0" applyProtection="0"/>
  </cellStyleXfs>
  <cellXfs count="138">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xf numFmtId="0" fontId="6" fillId="0" borderId="0" xfId="0" applyFont="1"/>
    <xf numFmtId="0" fontId="1" fillId="0" borderId="0" xfId="0" applyFont="1"/>
    <xf numFmtId="0" fontId="6" fillId="0" borderId="0" xfId="0" applyFont="1" applyAlignment="1">
      <alignment horizontal="left" vertical="center"/>
    </xf>
    <xf numFmtId="0" fontId="0" fillId="0" borderId="0" xfId="0" applyFill="1"/>
    <xf numFmtId="0" fontId="1" fillId="0" borderId="0" xfId="0" applyFont="1" applyFill="1"/>
    <xf numFmtId="0" fontId="0" fillId="0" borderId="0" xfId="0" applyFont="1"/>
    <xf numFmtId="0" fontId="8" fillId="0" borderId="0" xfId="0" applyFont="1" applyAlignment="1">
      <alignment vertical="center"/>
    </xf>
    <xf numFmtId="0" fontId="0" fillId="2" borderId="1" xfId="0" applyFill="1" applyBorder="1"/>
    <xf numFmtId="0" fontId="0" fillId="2" borderId="2" xfId="0" applyFill="1" applyBorder="1"/>
    <xf numFmtId="0" fontId="0" fillId="0" borderId="0" xfId="0" applyFont="1" applyFill="1" applyAlignment="1">
      <alignment vertical="center"/>
    </xf>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Font="1"/>
    <xf numFmtId="0" fontId="10" fillId="0" borderId="0" xfId="2" applyFont="1"/>
    <xf numFmtId="0" fontId="8" fillId="0" borderId="0" xfId="2" applyFont="1" applyAlignment="1">
      <alignment vertical="center"/>
    </xf>
    <xf numFmtId="0" fontId="12" fillId="0" borderId="0" xfId="0" applyFont="1" applyAlignment="1">
      <alignment vertical="center"/>
    </xf>
    <xf numFmtId="0" fontId="13" fillId="0" borderId="0" xfId="0" applyFont="1" applyAlignment="1">
      <alignment vertical="center"/>
    </xf>
    <xf numFmtId="0" fontId="17" fillId="3" borderId="0" xfId="0" applyFont="1" applyFill="1"/>
    <xf numFmtId="0" fontId="18"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xf>
    <xf numFmtId="0" fontId="0" fillId="3" borderId="0" xfId="0" applyFill="1"/>
    <xf numFmtId="0" fontId="0" fillId="0" borderId="3" xfId="0" applyFont="1" applyBorder="1" applyAlignment="1">
      <alignment horizontal="center"/>
    </xf>
    <xf numFmtId="0" fontId="0" fillId="0" borderId="0" xfId="0" applyFont="1" applyAlignment="1">
      <alignment horizontal="center"/>
    </xf>
    <xf numFmtId="0" fontId="0" fillId="0" borderId="4" xfId="0" applyFont="1" applyBorder="1" applyAlignment="1">
      <alignment horizontal="center"/>
    </xf>
    <xf numFmtId="0" fontId="19" fillId="0" borderId="4" xfId="0" applyFont="1" applyBorder="1" applyAlignment="1">
      <alignment horizontal="center"/>
    </xf>
    <xf numFmtId="164" fontId="19" fillId="0" borderId="0" xfId="0" applyNumberFormat="1" applyFont="1" applyAlignment="1">
      <alignment horizontal="center"/>
    </xf>
    <xf numFmtId="165" fontId="19" fillId="0" borderId="4" xfId="0" applyNumberFormat="1" applyFont="1" applyBorder="1" applyAlignment="1">
      <alignment horizontal="center"/>
    </xf>
    <xf numFmtId="166" fontId="0" fillId="0" borderId="4" xfId="0" applyNumberFormat="1" applyFont="1" applyBorder="1" applyAlignment="1">
      <alignment horizontal="center"/>
    </xf>
    <xf numFmtId="0" fontId="19" fillId="0" borderId="0" xfId="0" applyFont="1" applyAlignment="1">
      <alignment horizontal="center"/>
    </xf>
    <xf numFmtId="0" fontId="0" fillId="0" borderId="0" xfId="0" applyAlignment="1">
      <alignment horizontal="center"/>
    </xf>
    <xf numFmtId="0" fontId="0" fillId="0" borderId="5" xfId="0" applyBorder="1"/>
    <xf numFmtId="0" fontId="0" fillId="4" borderId="4" xfId="0" applyFill="1" applyBorder="1" applyAlignment="1">
      <alignment horizontal="center"/>
    </xf>
    <xf numFmtId="0" fontId="0" fillId="0" borderId="0" xfId="0" applyBorder="1"/>
    <xf numFmtId="3" fontId="0" fillId="4" borderId="4" xfId="0" applyNumberFormat="1" applyFill="1" applyBorder="1" applyAlignment="1">
      <alignment horizontal="center"/>
    </xf>
    <xf numFmtId="0" fontId="0" fillId="0" borderId="6" xfId="0" applyBorder="1"/>
    <xf numFmtId="167" fontId="0" fillId="4" borderId="4" xfId="0" applyNumberFormat="1" applyFill="1" applyBorder="1" applyAlignment="1">
      <alignment horizontal="center"/>
    </xf>
    <xf numFmtId="3" fontId="0" fillId="0" borderId="0" xfId="0" applyNumberFormat="1"/>
    <xf numFmtId="0" fontId="1" fillId="0" borderId="5" xfId="0" applyFont="1" applyBorder="1"/>
    <xf numFmtId="0" fontId="0" fillId="0" borderId="7" xfId="0" applyBorder="1"/>
    <xf numFmtId="0" fontId="0" fillId="0" borderId="0" xfId="0" applyNumberFormat="1" applyFont="1" applyFill="1" applyBorder="1"/>
    <xf numFmtId="0" fontId="0" fillId="0" borderId="4" xfId="0" applyBorder="1"/>
    <xf numFmtId="0" fontId="0" fillId="0" borderId="0" xfId="0" applyNumberFormat="1" applyFont="1" applyFill="1" applyBorder="1" applyAlignment="1">
      <alignment horizontal="center"/>
    </xf>
    <xf numFmtId="0" fontId="0" fillId="0" borderId="4" xfId="0" applyFill="1" applyBorder="1"/>
    <xf numFmtId="167" fontId="0" fillId="4" borderId="4" xfId="6" applyNumberFormat="1" applyFont="1" applyFill="1" applyBorder="1" applyAlignment="1">
      <alignment horizontal="center"/>
    </xf>
    <xf numFmtId="0" fontId="0" fillId="0" borderId="0" xfId="0" applyFill="1" applyBorder="1"/>
    <xf numFmtId="167" fontId="0" fillId="0" borderId="0" xfId="6" applyNumberFormat="1" applyFont="1" applyBorder="1" applyAlignment="1">
      <alignment horizontal="center"/>
    </xf>
    <xf numFmtId="9" fontId="0" fillId="4" borderId="4" xfId="0" applyNumberFormat="1" applyFill="1" applyBorder="1" applyAlignment="1">
      <alignment horizontal="center"/>
    </xf>
    <xf numFmtId="0" fontId="1" fillId="0" borderId="5" xfId="0" applyFont="1" applyFill="1" applyBorder="1"/>
    <xf numFmtId="0" fontId="1" fillId="0" borderId="7" xfId="0" applyFont="1" applyFill="1" applyBorder="1"/>
    <xf numFmtId="0" fontId="0" fillId="0" borderId="4" xfId="0" applyBorder="1" applyAlignment="1">
      <alignment horizontal="center"/>
    </xf>
    <xf numFmtId="0" fontId="19" fillId="0" borderId="0" xfId="0" applyFont="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2" xfId="0" applyFont="1" applyBorder="1" applyAlignment="1">
      <alignment horizontal="center"/>
    </xf>
    <xf numFmtId="0" fontId="0" fillId="0" borderId="13" xfId="0" applyBorder="1" applyAlignment="1">
      <alignment horizontal="center"/>
    </xf>
    <xf numFmtId="0" fontId="0" fillId="0" borderId="4" xfId="0" applyNumberFormat="1" applyFont="1" applyBorder="1" applyAlignment="1">
      <alignment horizontal="center"/>
    </xf>
    <xf numFmtId="0" fontId="0" fillId="0" borderId="4" xfId="0" applyNumberFormat="1" applyFont="1" applyFill="1" applyBorder="1" applyAlignment="1">
      <alignment horizontal="center"/>
    </xf>
    <xf numFmtId="0" fontId="19" fillId="0" borderId="3" xfId="0" applyFont="1" applyBorder="1"/>
    <xf numFmtId="0" fontId="19" fillId="0" borderId="3" xfId="0" applyFont="1" applyBorder="1" applyAlignment="1">
      <alignment horizontal="center"/>
    </xf>
    <xf numFmtId="0" fontId="19" fillId="0" borderId="4" xfId="0" applyNumberFormat="1" applyFont="1" applyBorder="1" applyAlignment="1">
      <alignment horizontal="center"/>
    </xf>
    <xf numFmtId="0" fontId="0" fillId="0" borderId="0" xfId="0" applyBorder="1" applyAlignment="1">
      <alignment horizontal="center"/>
    </xf>
    <xf numFmtId="2" fontId="19" fillId="0" borderId="0" xfId="0" applyNumberFormat="1" applyFont="1" applyBorder="1" applyAlignment="1">
      <alignment horizontal="center"/>
    </xf>
    <xf numFmtId="2" fontId="0" fillId="0" borderId="0" xfId="0" applyNumberFormat="1" applyBorder="1" applyAlignment="1">
      <alignment horizontal="center"/>
    </xf>
    <xf numFmtId="166" fontId="0" fillId="0" borderId="0" xfId="0" applyNumberFormat="1" applyBorder="1" applyAlignment="1">
      <alignment horizontal="center"/>
    </xf>
    <xf numFmtId="0" fontId="0" fillId="0" borderId="0" xfId="0" applyNumberFormat="1" applyBorder="1" applyAlignment="1">
      <alignment horizontal="center"/>
    </xf>
    <xf numFmtId="4" fontId="0" fillId="0" borderId="0" xfId="0" applyNumberFormat="1" applyBorder="1" applyAlignment="1">
      <alignment horizontal="center"/>
    </xf>
    <xf numFmtId="2" fontId="0" fillId="0" borderId="0" xfId="0" applyNumberFormat="1"/>
    <xf numFmtId="166" fontId="0" fillId="0" borderId="0" xfId="0" applyNumberFormat="1"/>
    <xf numFmtId="0" fontId="0" fillId="0" borderId="0" xfId="0" applyNumberFormat="1"/>
    <xf numFmtId="4" fontId="0" fillId="0" borderId="0" xfId="0" applyNumberFormat="1"/>
    <xf numFmtId="168" fontId="0" fillId="0" borderId="0" xfId="0" applyNumberFormat="1"/>
    <xf numFmtId="166" fontId="14" fillId="0" borderId="0" xfId="0" applyNumberFormat="1" applyFont="1"/>
    <xf numFmtId="0" fontId="19" fillId="0" borderId="0" xfId="0" applyFont="1" applyAlignment="1">
      <alignment horizontal="left"/>
    </xf>
    <xf numFmtId="0" fontId="14" fillId="0" borderId="0" xfId="0" applyFont="1" applyAlignment="1">
      <alignment horizontal="center"/>
    </xf>
    <xf numFmtId="0" fontId="0" fillId="0" borderId="4" xfId="0" applyNumberFormat="1" applyBorder="1" applyAlignment="1">
      <alignment horizontal="center"/>
    </xf>
    <xf numFmtId="169" fontId="0" fillId="0" borderId="0" xfId="0" applyNumberFormat="1" applyBorder="1" applyAlignment="1">
      <alignment horizontal="center"/>
    </xf>
    <xf numFmtId="0" fontId="19" fillId="0" borderId="0" xfId="0" applyNumberFormat="1" applyFont="1" applyFill="1" applyBorder="1"/>
    <xf numFmtId="0" fontId="0" fillId="3" borderId="0" xfId="0" applyFont="1" applyFill="1"/>
    <xf numFmtId="165" fontId="0" fillId="3" borderId="0" xfId="0" applyNumberFormat="1" applyFont="1" applyFill="1" applyAlignment="1">
      <alignment horizontal="center"/>
    </xf>
    <xf numFmtId="169" fontId="0" fillId="3" borderId="0" xfId="0" applyNumberFormat="1" applyFont="1" applyFill="1" applyAlignment="1">
      <alignment horizontal="center"/>
    </xf>
    <xf numFmtId="0" fontId="0" fillId="0" borderId="3" xfId="0" applyFont="1" applyBorder="1"/>
    <xf numFmtId="165" fontId="0" fillId="0" borderId="0" xfId="0" applyNumberFormat="1" applyFont="1" applyAlignment="1">
      <alignment horizontal="center"/>
    </xf>
    <xf numFmtId="169" fontId="0" fillId="0" borderId="0" xfId="0" applyNumberFormat="1" applyFont="1" applyAlignment="1">
      <alignment horizontal="center"/>
    </xf>
    <xf numFmtId="169" fontId="19" fillId="0" borderId="4" xfId="0" applyNumberFormat="1" applyFont="1" applyBorder="1" applyAlignment="1">
      <alignment horizontal="center"/>
    </xf>
    <xf numFmtId="0" fontId="16" fillId="0" borderId="4" xfId="0" applyFont="1" applyBorder="1" applyAlignment="1">
      <alignment horizontal="center"/>
    </xf>
    <xf numFmtId="164" fontId="19" fillId="0" borderId="0" xfId="0" applyNumberFormat="1" applyFont="1"/>
    <xf numFmtId="169" fontId="0" fillId="0" borderId="4" xfId="0" applyNumberFormat="1" applyFont="1" applyBorder="1" applyAlignment="1">
      <alignment horizontal="center"/>
    </xf>
    <xf numFmtId="0" fontId="0" fillId="0" borderId="8" xfId="0" applyFill="1" applyBorder="1"/>
    <xf numFmtId="3" fontId="0" fillId="0" borderId="7" xfId="0" applyNumberFormat="1" applyFill="1" applyBorder="1"/>
    <xf numFmtId="167" fontId="0" fillId="4" borderId="4" xfId="0" applyNumberFormat="1" applyFill="1" applyBorder="1"/>
    <xf numFmtId="10" fontId="0" fillId="0" borderId="0" xfId="0" applyNumberFormat="1"/>
    <xf numFmtId="3" fontId="0" fillId="4" borderId="4" xfId="0" applyNumberFormat="1" applyFill="1" applyBorder="1"/>
    <xf numFmtId="0" fontId="0" fillId="0" borderId="14" xfId="0" applyBorder="1"/>
    <xf numFmtId="3" fontId="0" fillId="0" borderId="3" xfId="0" applyNumberFormat="1" applyFill="1" applyBorder="1"/>
    <xf numFmtId="167" fontId="0" fillId="0" borderId="11" xfId="0" applyNumberFormat="1" applyFill="1" applyBorder="1"/>
    <xf numFmtId="3" fontId="0" fillId="0" borderId="0" xfId="0" applyNumberFormat="1" applyFill="1"/>
    <xf numFmtId="167" fontId="0" fillId="0" borderId="0" xfId="0" applyNumberFormat="1" applyFill="1"/>
    <xf numFmtId="0" fontId="0" fillId="0" borderId="7" xfId="0" applyFill="1" applyBorder="1"/>
    <xf numFmtId="0" fontId="0" fillId="0" borderId="5" xfId="0" applyFont="1" applyBorder="1"/>
    <xf numFmtId="0" fontId="0" fillId="0" borderId="0" xfId="0" applyFont="1" applyFill="1"/>
    <xf numFmtId="0" fontId="0" fillId="0" borderId="0" xfId="0" applyFont="1" applyFill="1" applyBorder="1"/>
    <xf numFmtId="167" fontId="0" fillId="0" borderId="7" xfId="0" applyNumberFormat="1" applyFill="1" applyBorder="1"/>
    <xf numFmtId="0" fontId="0" fillId="4" borderId="4" xfId="0" applyFill="1" applyBorder="1"/>
    <xf numFmtId="167" fontId="0" fillId="4" borderId="4" xfId="0" applyNumberFormat="1" applyFill="1" applyBorder="1" applyAlignment="1">
      <alignment horizontal="right"/>
    </xf>
    <xf numFmtId="0" fontId="0" fillId="0" borderId="0" xfId="0" applyFont="1" applyFill="1" applyAlignment="1">
      <alignment horizontal="right"/>
    </xf>
    <xf numFmtId="3" fontId="0" fillId="0" borderId="0" xfId="0" applyNumberFormat="1" applyFill="1" applyBorder="1"/>
    <xf numFmtId="0" fontId="1" fillId="0" borderId="10" xfId="0" applyFont="1" applyBorder="1"/>
    <xf numFmtId="0" fontId="0" fillId="0" borderId="15" xfId="0" applyBorder="1"/>
    <xf numFmtId="0" fontId="0" fillId="0" borderId="16" xfId="0" applyBorder="1"/>
    <xf numFmtId="169" fontId="0" fillId="0" borderId="0" xfId="0" applyNumberFormat="1"/>
    <xf numFmtId="169" fontId="0" fillId="0" borderId="9" xfId="0" applyNumberFormat="1" applyBorder="1" applyAlignment="1">
      <alignment horizontal="center"/>
    </xf>
    <xf numFmtId="169" fontId="0" fillId="0" borderId="12" xfId="0" applyNumberFormat="1" applyBorder="1" applyAlignment="1">
      <alignment horizontal="center"/>
    </xf>
    <xf numFmtId="4" fontId="0" fillId="0" borderId="4" xfId="0" applyNumberFormat="1" applyBorder="1" applyAlignment="1">
      <alignment horizontal="center"/>
    </xf>
    <xf numFmtId="4" fontId="0" fillId="0" borderId="0" xfId="0" applyNumberFormat="1" applyAlignment="1">
      <alignment horizontal="center"/>
    </xf>
    <xf numFmtId="169" fontId="0" fillId="0" borderId="4" xfId="0" applyNumberFormat="1" applyBorder="1" applyAlignment="1">
      <alignment horizontal="center"/>
    </xf>
    <xf numFmtId="169" fontId="0" fillId="3" borderId="0" xfId="0" applyNumberFormat="1" applyFill="1"/>
    <xf numFmtId="0" fontId="0" fillId="0" borderId="8" xfId="0" applyBorder="1"/>
    <xf numFmtId="4" fontId="0" fillId="0" borderId="9" xfId="0" applyNumberFormat="1" applyBorder="1" applyAlignment="1">
      <alignment horizontal="center"/>
    </xf>
    <xf numFmtId="4" fontId="0" fillId="0" borderId="12" xfId="0" applyNumberFormat="1" applyBorder="1" applyAlignment="1">
      <alignment horizontal="center"/>
    </xf>
    <xf numFmtId="0" fontId="0" fillId="0" borderId="14" xfId="0" applyBorder="1" applyAlignment="1">
      <alignment horizontal="center"/>
    </xf>
    <xf numFmtId="0" fontId="0" fillId="0" borderId="5" xfId="0" applyNumberFormat="1" applyBorder="1" applyAlignment="1">
      <alignment horizontal="center"/>
    </xf>
    <xf numFmtId="0" fontId="6" fillId="0" borderId="0" xfId="0" applyFont="1" applyAlignment="1">
      <alignment vertical="center"/>
    </xf>
    <xf numFmtId="0" fontId="5" fillId="2" borderId="17" xfId="0" applyFont="1" applyFill="1" applyBorder="1"/>
    <xf numFmtId="0" fontId="0" fillId="2" borderId="18" xfId="0" applyFill="1" applyBorder="1"/>
    <xf numFmtId="0" fontId="0" fillId="2" borderId="19" xfId="0" applyFill="1" applyBorder="1"/>
    <xf numFmtId="0" fontId="0" fillId="0" borderId="5" xfId="0" applyFont="1" applyBorder="1" applyAlignment="1">
      <alignment horizontal="center"/>
    </xf>
    <xf numFmtId="0" fontId="0" fillId="0" borderId="8" xfId="0" applyFont="1" applyBorder="1" applyAlignment="1">
      <alignment horizontal="center"/>
    </xf>
    <xf numFmtId="0" fontId="0" fillId="0" borderId="7" xfId="0" applyFont="1" applyBorder="1" applyAlignment="1">
      <alignment horizontal="center"/>
    </xf>
  </cellXfs>
  <cellStyles count="7">
    <cellStyle name="Comma 2" xfId="4" xr:uid="{00000000-0005-0000-0000-000000000000}"/>
    <cellStyle name="Comma 3" xfId="1" xr:uid="{00000000-0005-0000-0000-000001000000}"/>
    <cellStyle name="Currency 2" xfId="5" xr:uid="{00000000-0005-0000-0000-000002000000}"/>
    <cellStyle name="Normal" xfId="0" builtinId="0"/>
    <cellStyle name="Normal 2" xfId="2" xr:uid="{00000000-0005-0000-0000-000004000000}"/>
    <cellStyle name="Percent" xfId="6"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241300</xdr:colOff>
          <xdr:row>19</xdr:row>
          <xdr:rowOff>25400</xdr:rowOff>
        </xdr:to>
        <xdr:sp macro="" textlink="">
          <xdr:nvSpPr>
            <xdr:cNvPr id="8193" name="Check Box 1" descr="latest version"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177800</xdr:rowOff>
        </xdr:from>
        <xdr:to>
          <xdr:col>0</xdr:col>
          <xdr:colOff>241300</xdr:colOff>
          <xdr:row>20</xdr:row>
          <xdr:rowOff>31750</xdr:rowOff>
        </xdr:to>
        <xdr:sp macro="" textlink="">
          <xdr:nvSpPr>
            <xdr:cNvPr id="8194" name="Check Box 2" descr="latest version"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241300</xdr:colOff>
          <xdr:row>20</xdr:row>
          <xdr:rowOff>38100</xdr:rowOff>
        </xdr:to>
        <xdr:sp macro="" textlink="">
          <xdr:nvSpPr>
            <xdr:cNvPr id="8195" name="Check Box 3" descr="latest version"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177800</xdr:rowOff>
        </xdr:from>
        <xdr:to>
          <xdr:col>0</xdr:col>
          <xdr:colOff>241300</xdr:colOff>
          <xdr:row>22</xdr:row>
          <xdr:rowOff>31750</xdr:rowOff>
        </xdr:to>
        <xdr:sp macro="" textlink="">
          <xdr:nvSpPr>
            <xdr:cNvPr id="8196" name="Check Box 4" descr="latest version"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241300</xdr:colOff>
          <xdr:row>21</xdr:row>
          <xdr:rowOff>25400</xdr:rowOff>
        </xdr:to>
        <xdr:sp macro="" textlink="">
          <xdr:nvSpPr>
            <xdr:cNvPr id="8197" name="Check Box 5" descr="latest version"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50800</xdr:rowOff>
        </xdr:to>
        <xdr:sp macro="" textlink="">
          <xdr:nvSpPr>
            <xdr:cNvPr id="8198" name="Check Box 6" descr="latest version"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0690" y="1333500"/>
          <a:ext cx="97536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29845</xdr:colOff>
      <xdr:row>11</xdr:row>
      <xdr:rowOff>133350</xdr:rowOff>
    </xdr:from>
    <xdr:to>
      <xdr:col>6</xdr:col>
      <xdr:colOff>6350</xdr:colOff>
      <xdr:row>13</xdr:row>
      <xdr:rowOff>39370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906895" y="2409825"/>
          <a:ext cx="119570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101600</xdr:colOff>
          <xdr:row>3</xdr:row>
          <xdr:rowOff>177800</xdr:rowOff>
        </xdr:from>
        <xdr:to>
          <xdr:col>4</xdr:col>
          <xdr:colOff>431800</xdr:colOff>
          <xdr:row>5</xdr:row>
          <xdr:rowOff>12700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3</xdr:row>
          <xdr:rowOff>177800</xdr:rowOff>
        </xdr:from>
        <xdr:to>
          <xdr:col>5</xdr:col>
          <xdr:colOff>419100</xdr:colOff>
          <xdr:row>5</xdr:row>
          <xdr:rowOff>12700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xdr:row>
          <xdr:rowOff>177800</xdr:rowOff>
        </xdr:from>
        <xdr:to>
          <xdr:col>4</xdr:col>
          <xdr:colOff>431800</xdr:colOff>
          <xdr:row>8</xdr:row>
          <xdr:rowOff>12700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6</xdr:row>
          <xdr:rowOff>177800</xdr:rowOff>
        </xdr:from>
        <xdr:to>
          <xdr:col>5</xdr:col>
          <xdr:colOff>419100</xdr:colOff>
          <xdr:row>8</xdr:row>
          <xdr:rowOff>12700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50800</xdr:rowOff>
        </xdr:to>
        <xdr:sp macro="" textlink="">
          <xdr:nvSpPr>
            <xdr:cNvPr id="8207" name="Check Box 15" descr="latest version"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241300</xdr:colOff>
          <xdr:row>25</xdr:row>
          <xdr:rowOff>50800</xdr:rowOff>
        </xdr:to>
        <xdr:sp macro="" textlink="">
          <xdr:nvSpPr>
            <xdr:cNvPr id="8208" name="Check Box 16" descr="latest version"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177800</xdr:rowOff>
        </xdr:from>
        <xdr:to>
          <xdr:col>0</xdr:col>
          <xdr:colOff>241300</xdr:colOff>
          <xdr:row>23</xdr:row>
          <xdr:rowOff>31750</xdr:rowOff>
        </xdr:to>
        <xdr:sp macro="" textlink="">
          <xdr:nvSpPr>
            <xdr:cNvPr id="8209" name="Check Box 17" descr="latest version"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4"/>
  <sheetViews>
    <sheetView showGridLines="0" workbookViewId="0">
      <selection activeCell="B18" sqref="B18"/>
    </sheetView>
  </sheetViews>
  <sheetFormatPr defaultRowHeight="14.5" x14ac:dyDescent="0.35"/>
  <cols>
    <col min="1" max="1" width="5.08984375" customWidth="1"/>
  </cols>
  <sheetData>
    <row r="1" spans="1:19" ht="26" x14ac:dyDescent="0.35">
      <c r="A1" s="21" t="s">
        <v>22</v>
      </c>
      <c r="B1" s="14"/>
      <c r="C1" s="14"/>
      <c r="D1" s="14"/>
      <c r="E1" s="1"/>
      <c r="F1" s="1"/>
      <c r="G1" s="1"/>
      <c r="H1" s="1"/>
      <c r="I1" s="1"/>
      <c r="J1" s="1"/>
      <c r="K1" s="1"/>
      <c r="L1" s="1"/>
      <c r="M1" s="1"/>
      <c r="N1" s="1"/>
    </row>
    <row r="2" spans="1:19" ht="16.25" customHeight="1" x14ac:dyDescent="0.35">
      <c r="A2" s="21"/>
      <c r="B2" s="14"/>
      <c r="C2" s="14"/>
      <c r="D2" s="14"/>
      <c r="E2" s="1"/>
      <c r="F2" s="1"/>
      <c r="G2" s="1"/>
      <c r="H2" s="1"/>
      <c r="I2" s="1"/>
      <c r="J2" s="1"/>
      <c r="K2" s="1"/>
      <c r="L2" s="1"/>
      <c r="M2" s="1"/>
      <c r="N2" s="1"/>
    </row>
    <row r="3" spans="1:19" ht="23.5" x14ac:dyDescent="0.35">
      <c r="A3" s="24" t="s">
        <v>165</v>
      </c>
      <c r="B3" s="14"/>
      <c r="C3" s="14"/>
      <c r="D3" s="14"/>
      <c r="E3" s="1"/>
      <c r="F3" s="1"/>
      <c r="G3" s="1"/>
      <c r="H3" s="1"/>
      <c r="I3" s="1"/>
      <c r="J3" s="1"/>
      <c r="K3" s="1"/>
      <c r="L3" s="1"/>
      <c r="M3" s="1"/>
      <c r="N3" s="1"/>
    </row>
    <row r="4" spans="1:19" ht="11.5" customHeight="1" x14ac:dyDescent="0.35">
      <c r="A4" s="2"/>
      <c r="B4" s="1"/>
      <c r="C4" s="1"/>
      <c r="D4" s="1"/>
      <c r="E4" s="1"/>
      <c r="F4" s="1"/>
      <c r="G4" s="1"/>
      <c r="H4" s="1"/>
      <c r="I4" s="1"/>
      <c r="J4" s="1"/>
      <c r="K4" s="1"/>
      <c r="L4" s="1"/>
      <c r="M4" s="1"/>
      <c r="N4" s="1"/>
    </row>
    <row r="5" spans="1:19" x14ac:dyDescent="0.35">
      <c r="A5" s="14" t="s">
        <v>0</v>
      </c>
      <c r="B5" s="14"/>
      <c r="C5" s="14"/>
      <c r="D5" s="14"/>
      <c r="E5" s="14"/>
      <c r="F5" s="14"/>
      <c r="G5" s="14"/>
      <c r="H5" s="14"/>
      <c r="I5" s="14"/>
      <c r="J5" s="14"/>
      <c r="K5" s="14"/>
      <c r="L5" s="1"/>
      <c r="M5" s="1"/>
      <c r="N5" s="1"/>
    </row>
    <row r="6" spans="1:19" x14ac:dyDescent="0.35">
      <c r="A6" s="18" t="s">
        <v>7</v>
      </c>
      <c r="B6" s="16" t="s">
        <v>17</v>
      </c>
      <c r="C6" s="14"/>
      <c r="D6" s="14"/>
      <c r="E6" s="14"/>
      <c r="F6" s="14"/>
      <c r="G6" s="14"/>
      <c r="H6" s="14"/>
      <c r="I6" s="14"/>
      <c r="J6" s="14"/>
      <c r="K6" s="14"/>
      <c r="L6" s="1"/>
      <c r="M6" s="1"/>
      <c r="N6" s="1"/>
    </row>
    <row r="7" spans="1:19" x14ac:dyDescent="0.35">
      <c r="A7" s="18" t="s">
        <v>7</v>
      </c>
      <c r="B7" s="16" t="s">
        <v>151</v>
      </c>
      <c r="C7" s="14"/>
      <c r="D7" s="14"/>
      <c r="E7" s="14"/>
      <c r="F7" s="14"/>
      <c r="G7" s="14"/>
      <c r="H7" s="14"/>
      <c r="I7" s="14"/>
      <c r="J7" s="14"/>
      <c r="K7" s="14"/>
      <c r="L7" s="1"/>
      <c r="M7" s="1"/>
      <c r="N7" s="1"/>
    </row>
    <row r="8" spans="1:19" x14ac:dyDescent="0.35">
      <c r="A8" s="17"/>
      <c r="B8" s="14"/>
      <c r="C8" s="14"/>
      <c r="D8" s="14"/>
      <c r="E8" s="14"/>
      <c r="F8" s="14"/>
      <c r="G8" s="14"/>
      <c r="H8" s="14"/>
      <c r="I8" s="14"/>
      <c r="J8" s="14"/>
      <c r="K8" s="14"/>
      <c r="L8" s="1"/>
      <c r="M8" s="1"/>
      <c r="N8" s="1"/>
    </row>
    <row r="9" spans="1:19" x14ac:dyDescent="0.35">
      <c r="A9" s="15" t="s">
        <v>1</v>
      </c>
      <c r="B9" s="14"/>
      <c r="C9" s="14"/>
      <c r="D9" s="14"/>
      <c r="E9" s="14"/>
      <c r="F9" s="14"/>
      <c r="G9" s="14"/>
      <c r="H9" s="14"/>
      <c r="I9" s="14"/>
      <c r="J9" s="14"/>
      <c r="K9" s="14"/>
      <c r="L9" s="1"/>
      <c r="M9" s="1"/>
      <c r="N9" s="1"/>
    </row>
    <row r="10" spans="1:19" x14ac:dyDescent="0.35">
      <c r="A10" s="14" t="s">
        <v>2</v>
      </c>
      <c r="B10" s="14"/>
      <c r="C10" s="14"/>
      <c r="D10" s="14"/>
      <c r="E10" s="14"/>
      <c r="F10" s="14"/>
      <c r="G10" s="14"/>
      <c r="H10" s="14"/>
      <c r="I10" s="14"/>
      <c r="J10" s="14"/>
      <c r="K10" s="14"/>
      <c r="L10" s="1"/>
      <c r="M10" s="1"/>
      <c r="N10" s="1"/>
    </row>
    <row r="11" spans="1:19" x14ac:dyDescent="0.35">
      <c r="A11" s="18" t="s">
        <v>7</v>
      </c>
      <c r="B11" s="16" t="s">
        <v>8</v>
      </c>
      <c r="C11" s="14"/>
      <c r="D11" s="14"/>
      <c r="E11" s="14"/>
      <c r="F11" s="14"/>
      <c r="G11" s="14"/>
      <c r="H11" s="14"/>
      <c r="I11" s="14"/>
      <c r="J11" s="14"/>
      <c r="K11" s="14"/>
      <c r="L11" s="1"/>
      <c r="M11" s="1"/>
      <c r="N11" s="1"/>
    </row>
    <row r="12" spans="1:19" x14ac:dyDescent="0.35">
      <c r="A12" s="18" t="s">
        <v>7</v>
      </c>
      <c r="B12" s="26" t="s">
        <v>166</v>
      </c>
      <c r="C12" s="14"/>
      <c r="D12" s="14"/>
      <c r="E12" s="14"/>
      <c r="F12" s="14"/>
      <c r="G12" s="14"/>
      <c r="H12" s="14"/>
      <c r="I12" s="14"/>
      <c r="J12" s="14"/>
      <c r="K12" s="14"/>
      <c r="L12" s="1"/>
      <c r="M12" s="1"/>
      <c r="N12" s="1"/>
    </row>
    <row r="13" spans="1:19" x14ac:dyDescent="0.35">
      <c r="A13" s="18" t="s">
        <v>7</v>
      </c>
      <c r="B13" s="25" t="s">
        <v>161</v>
      </c>
      <c r="C13" s="14"/>
      <c r="D13" s="14"/>
      <c r="E13" s="14"/>
      <c r="F13" s="14"/>
      <c r="G13" s="13"/>
      <c r="H13" s="14"/>
      <c r="I13" s="14"/>
      <c r="J13" s="14"/>
      <c r="K13" s="14"/>
      <c r="L13" s="1"/>
      <c r="M13" s="1"/>
      <c r="N13" s="1"/>
      <c r="P13" s="8"/>
      <c r="Q13" s="7"/>
      <c r="R13" s="7"/>
      <c r="S13" s="7"/>
    </row>
    <row r="14" spans="1:19" x14ac:dyDescent="0.35">
      <c r="A14" s="18" t="s">
        <v>7</v>
      </c>
      <c r="B14" s="16" t="s">
        <v>9</v>
      </c>
      <c r="C14" s="14"/>
      <c r="D14" s="14"/>
      <c r="E14" s="14"/>
      <c r="F14" s="14"/>
      <c r="G14" s="14"/>
      <c r="H14" s="14"/>
      <c r="I14" s="14"/>
      <c r="J14" s="14"/>
      <c r="K14" s="14"/>
      <c r="L14" s="1"/>
      <c r="M14" s="1"/>
      <c r="N14" s="1"/>
    </row>
    <row r="15" spans="1:19" x14ac:dyDescent="0.35">
      <c r="A15" s="18" t="s">
        <v>7</v>
      </c>
      <c r="B15" s="16" t="s">
        <v>18</v>
      </c>
      <c r="C15" s="14"/>
      <c r="D15" s="14"/>
      <c r="E15" s="14"/>
      <c r="F15" s="14"/>
      <c r="G15" s="14"/>
      <c r="H15" s="14"/>
      <c r="I15" s="14"/>
      <c r="J15" s="14"/>
      <c r="K15" s="14"/>
      <c r="L15" s="1"/>
      <c r="M15" s="1"/>
      <c r="N15" s="1"/>
    </row>
    <row r="16" spans="1:19" x14ac:dyDescent="0.35">
      <c r="A16" s="18" t="s">
        <v>7</v>
      </c>
      <c r="B16" s="10" t="s">
        <v>15</v>
      </c>
      <c r="C16" s="14"/>
      <c r="D16" s="14"/>
      <c r="E16" s="14"/>
      <c r="F16" s="14"/>
      <c r="G16" s="14"/>
      <c r="H16" s="14"/>
      <c r="I16" s="14"/>
      <c r="J16" s="14"/>
      <c r="K16" s="14"/>
      <c r="L16" s="1"/>
      <c r="M16" s="1"/>
      <c r="N16" s="1"/>
    </row>
    <row r="17" spans="1:14" x14ac:dyDescent="0.35">
      <c r="A17" s="19" t="s">
        <v>7</v>
      </c>
      <c r="B17" s="20" t="s">
        <v>16</v>
      </c>
      <c r="C17" s="14"/>
      <c r="D17" s="14"/>
      <c r="E17" s="14"/>
      <c r="F17" s="14"/>
      <c r="G17" s="14"/>
      <c r="H17" s="14"/>
      <c r="I17" s="14"/>
      <c r="J17" s="14"/>
      <c r="K17" s="14"/>
      <c r="L17" s="1"/>
      <c r="M17" s="1"/>
      <c r="N17" s="1"/>
    </row>
    <row r="18" spans="1:14" x14ac:dyDescent="0.35">
      <c r="A18" s="18" t="s">
        <v>7</v>
      </c>
      <c r="B18" s="16" t="s">
        <v>21</v>
      </c>
      <c r="C18" s="14"/>
      <c r="D18" s="14"/>
      <c r="E18" s="14"/>
      <c r="F18" s="14"/>
      <c r="G18" s="14"/>
      <c r="H18" s="14"/>
      <c r="I18" s="14"/>
      <c r="J18" s="14"/>
      <c r="K18" s="14"/>
      <c r="L18" s="1"/>
      <c r="M18" s="1"/>
      <c r="N18" s="1"/>
    </row>
    <row r="19" spans="1:14" x14ac:dyDescent="0.35">
      <c r="A19" s="17"/>
      <c r="B19" s="14"/>
      <c r="C19" s="14"/>
      <c r="D19" s="14"/>
      <c r="E19" s="14"/>
      <c r="F19" s="14"/>
      <c r="G19" s="14"/>
      <c r="H19" s="14"/>
      <c r="I19" s="14"/>
      <c r="J19" s="14"/>
      <c r="K19" s="14"/>
      <c r="L19" s="1"/>
      <c r="M19" s="1"/>
      <c r="N19" s="1"/>
    </row>
    <row r="20" spans="1:14" x14ac:dyDescent="0.35">
      <c r="A20" s="10" t="s">
        <v>3</v>
      </c>
      <c r="B20" s="14"/>
      <c r="C20" s="14"/>
      <c r="D20" s="14"/>
      <c r="E20" s="14"/>
      <c r="F20" s="14"/>
      <c r="G20" s="14"/>
      <c r="H20" s="14"/>
      <c r="I20" s="14"/>
      <c r="J20" s="14"/>
      <c r="K20" s="14"/>
      <c r="L20" s="1"/>
      <c r="M20" s="1"/>
      <c r="N20" s="1"/>
    </row>
    <row r="21" spans="1:14" x14ac:dyDescent="0.35">
      <c r="A21" t="s">
        <v>158</v>
      </c>
      <c r="B21" s="14"/>
      <c r="C21" s="14"/>
      <c r="D21" s="14"/>
      <c r="E21" s="14"/>
      <c r="F21" s="14"/>
      <c r="G21" s="14"/>
      <c r="H21" s="14"/>
      <c r="I21" s="14"/>
      <c r="J21" s="14"/>
      <c r="K21" s="14"/>
      <c r="L21" s="1"/>
      <c r="M21" s="1"/>
      <c r="N21" s="1"/>
    </row>
    <row r="22" spans="1:14" x14ac:dyDescent="0.35">
      <c r="A22" s="15" t="s">
        <v>4</v>
      </c>
      <c r="B22" s="14"/>
      <c r="C22" s="14"/>
      <c r="D22" s="14"/>
      <c r="E22" s="14"/>
      <c r="F22" s="14"/>
      <c r="G22" s="14"/>
      <c r="H22" s="14"/>
      <c r="I22" s="14"/>
      <c r="J22" s="14"/>
      <c r="K22" s="14"/>
      <c r="L22" s="1"/>
      <c r="M22" s="1"/>
      <c r="N22" s="1"/>
    </row>
    <row r="23" spans="1:14" x14ac:dyDescent="0.35">
      <c r="A23" s="16" t="s">
        <v>159</v>
      </c>
      <c r="B23" s="14"/>
      <c r="C23" s="14"/>
      <c r="D23" s="14"/>
      <c r="E23" s="14"/>
      <c r="F23" s="14"/>
      <c r="G23" s="14"/>
      <c r="H23" s="14"/>
      <c r="I23" s="14"/>
      <c r="J23" s="14"/>
      <c r="K23" s="14"/>
      <c r="L23" s="1"/>
      <c r="M23" s="1"/>
      <c r="N23" s="1"/>
    </row>
    <row r="24" spans="1:14" x14ac:dyDescent="0.35">
      <c r="A24" s="1" t="s">
        <v>160</v>
      </c>
      <c r="B24" s="14"/>
      <c r="C24" s="14"/>
      <c r="D24" s="14"/>
      <c r="E24" s="14"/>
      <c r="F24" s="14"/>
      <c r="G24" s="14"/>
      <c r="H24" s="14"/>
      <c r="I24" s="14"/>
      <c r="J24" s="14"/>
      <c r="K24" s="14"/>
      <c r="L24" s="1"/>
      <c r="M24" s="1"/>
      <c r="N24"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1"/>
  <sheetViews>
    <sheetView tabSelected="1" zoomScaleNormal="100" workbookViewId="0">
      <selection activeCell="H22" sqref="H22"/>
    </sheetView>
  </sheetViews>
  <sheetFormatPr defaultColWidth="8.1796875" defaultRowHeight="14.5" x14ac:dyDescent="0.35"/>
  <cols>
    <col min="1" max="1" width="5.6328125" customWidth="1"/>
  </cols>
  <sheetData>
    <row r="1" spans="1:28" s="28" customFormat="1" ht="21" x14ac:dyDescent="0.5">
      <c r="A1" s="23" t="s">
        <v>20</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3" spans="1:28" x14ac:dyDescent="0.35">
      <c r="A3" t="s">
        <v>96</v>
      </c>
    </row>
    <row r="5" spans="1:28" x14ac:dyDescent="0.35">
      <c r="A5" t="s">
        <v>97</v>
      </c>
    </row>
    <row r="21" spans="8:8" x14ac:dyDescent="0.35">
      <c r="H21" t="s">
        <v>168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7"/>
  <sheetViews>
    <sheetView workbookViewId="0">
      <selection activeCell="A4" sqref="A4"/>
    </sheetView>
  </sheetViews>
  <sheetFormatPr defaultColWidth="11.81640625" defaultRowHeight="14.5" x14ac:dyDescent="0.35"/>
  <cols>
    <col min="1" max="1" width="11.81640625" style="18"/>
    <col min="2" max="2" width="1.453125" style="18" customWidth="1"/>
    <col min="3" max="5" width="11.81640625" style="91"/>
    <col min="6" max="8" width="11.81640625" style="92"/>
    <col min="9" max="16384" width="11.81640625" style="18"/>
  </cols>
  <sheetData>
    <row r="1" spans="1:8" s="87" customFormat="1" ht="21" x14ac:dyDescent="0.5">
      <c r="A1" s="23" t="s">
        <v>23</v>
      </c>
      <c r="C1" s="88"/>
      <c r="D1" s="88"/>
      <c r="E1" s="88"/>
      <c r="F1" s="89"/>
      <c r="G1" s="89"/>
      <c r="H1" s="89"/>
    </row>
    <row r="2" spans="1:8" x14ac:dyDescent="0.35">
      <c r="A2" s="90"/>
    </row>
    <row r="3" spans="1:8" x14ac:dyDescent="0.35">
      <c r="A3" s="31" t="s">
        <v>24</v>
      </c>
      <c r="C3" s="34" t="s">
        <v>25</v>
      </c>
      <c r="D3" s="34" t="s">
        <v>26</v>
      </c>
      <c r="E3" s="34" t="s">
        <v>27</v>
      </c>
      <c r="F3" s="93" t="s">
        <v>28</v>
      </c>
      <c r="G3" s="93" t="s">
        <v>29</v>
      </c>
      <c r="H3" s="93" t="s">
        <v>30</v>
      </c>
    </row>
    <row r="4" spans="1:8" x14ac:dyDescent="0.35">
      <c r="A4" s="94">
        <v>17</v>
      </c>
      <c r="B4" s="95"/>
      <c r="C4" s="34">
        <f>9997.8091</f>
        <v>9997.8091000000004</v>
      </c>
      <c r="D4" s="34"/>
      <c r="E4" s="34">
        <v>10000</v>
      </c>
      <c r="F4" s="96">
        <f t="shared" ref="F4:G35" si="0">(C4-D5)/C4</f>
        <v>4.2700355220820583E-4</v>
      </c>
      <c r="G4" s="96"/>
      <c r="H4" s="96">
        <f t="shared" ref="H4:H67" si="1">(E4-E5)/E4</f>
        <v>5.9999999999999995E-4</v>
      </c>
    </row>
    <row r="5" spans="1:8" x14ac:dyDescent="0.35">
      <c r="A5" s="94">
        <v>18</v>
      </c>
      <c r="B5" s="95"/>
      <c r="C5" s="34">
        <f>9991.8904</f>
        <v>9991.8904000000002</v>
      </c>
      <c r="D5" s="34">
        <f>9993.54</f>
        <v>9993.5400000000009</v>
      </c>
      <c r="E5" s="34">
        <v>9994</v>
      </c>
      <c r="F5" s="96">
        <f t="shared" si="0"/>
        <v>4.2600547339876916E-4</v>
      </c>
      <c r="G5" s="96">
        <f t="shared" si="0"/>
        <v>5.4799760645385224E-4</v>
      </c>
      <c r="H5" s="96">
        <f t="shared" si="1"/>
        <v>5.9399999999999579E-4</v>
      </c>
    </row>
    <row r="6" spans="1:8" x14ac:dyDescent="0.35">
      <c r="A6" s="94">
        <v>19</v>
      </c>
      <c r="B6" s="95"/>
      <c r="C6" s="34">
        <f>9986.0351</f>
        <v>9986.0350999999991</v>
      </c>
      <c r="D6" s="34">
        <f>9987.6338</f>
        <v>9987.6337999999996</v>
      </c>
      <c r="E6" s="34">
        <v>9988.063564</v>
      </c>
      <c r="F6" s="96">
        <f t="shared" si="0"/>
        <v>4.2499349917153584E-4</v>
      </c>
      <c r="G6" s="96">
        <f t="shared" si="0"/>
        <v>5.4399564710390683E-4</v>
      </c>
      <c r="H6" s="96">
        <f t="shared" si="1"/>
        <v>5.8700000000002836E-4</v>
      </c>
    </row>
    <row r="7" spans="1:8" x14ac:dyDescent="0.35">
      <c r="A7" s="94">
        <v>20</v>
      </c>
      <c r="B7" s="95"/>
      <c r="C7" s="34">
        <f>9980.2432</f>
        <v>9980.2432000000008</v>
      </c>
      <c r="D7" s="34">
        <f>9981.7911</f>
        <v>9981.7911000000004</v>
      </c>
      <c r="E7" s="34">
        <v>9982.2005706879318</v>
      </c>
      <c r="F7" s="96">
        <f t="shared" si="0"/>
        <v>4.2499966333497751E-4</v>
      </c>
      <c r="G7" s="96">
        <f t="shared" si="0"/>
        <v>5.4100210975257905E-4</v>
      </c>
      <c r="H7" s="96">
        <f t="shared" si="1"/>
        <v>5.8200000000005307E-4</v>
      </c>
    </row>
    <row r="8" spans="1:8" x14ac:dyDescent="0.35">
      <c r="A8" s="94">
        <v>21</v>
      </c>
      <c r="B8" s="95"/>
      <c r="C8" s="34">
        <f>9974.5046</f>
        <v>9974.5046000000002</v>
      </c>
      <c r="D8" s="34">
        <f>9976.0016</f>
        <v>9976.0015999999996</v>
      </c>
      <c r="E8" s="34">
        <v>9976.3909299557909</v>
      </c>
      <c r="F8" s="96">
        <f t="shared" si="0"/>
        <v>4.2500356358550202E-4</v>
      </c>
      <c r="G8" s="96">
        <f t="shared" si="0"/>
        <v>5.379958650762991E-4</v>
      </c>
      <c r="H8" s="96">
        <f t="shared" si="1"/>
        <v>5.770000000001309E-4</v>
      </c>
    </row>
    <row r="9" spans="1:8" x14ac:dyDescent="0.35">
      <c r="A9" s="94">
        <v>22</v>
      </c>
      <c r="B9" s="95"/>
      <c r="C9" s="34">
        <f>9968.8391</f>
        <v>9968.8390999999992</v>
      </c>
      <c r="D9" s="34">
        <f>9970.2654</f>
        <v>9970.2654000000002</v>
      </c>
      <c r="E9" s="34">
        <v>9970.6345523892051</v>
      </c>
      <c r="F9" s="96">
        <f t="shared" si="0"/>
        <v>4.2700057221305837E-4</v>
      </c>
      <c r="G9" s="96">
        <f t="shared" si="0"/>
        <v>5.3499584622510965E-4</v>
      </c>
      <c r="H9" s="96">
        <f t="shared" si="1"/>
        <v>5.7200000000001347E-4</v>
      </c>
    </row>
    <row r="10" spans="1:8" x14ac:dyDescent="0.35">
      <c r="A10" s="94">
        <v>23</v>
      </c>
      <c r="B10" s="95"/>
      <c r="C10" s="34">
        <f>9963.1967</f>
        <v>9963.1967000000004</v>
      </c>
      <c r="D10" s="34">
        <f>9964.5824</f>
        <v>9964.5823999999993</v>
      </c>
      <c r="E10" s="34">
        <v>9964.9313494252383</v>
      </c>
      <c r="F10" s="96">
        <f t="shared" si="0"/>
        <v>4.2899885736470873E-4</v>
      </c>
      <c r="G10" s="96">
        <f t="shared" si="0"/>
        <v>5.3400095447889606E-4</v>
      </c>
      <c r="H10" s="96">
        <f t="shared" si="1"/>
        <v>5.6899999999996168E-4</v>
      </c>
    </row>
    <row r="11" spans="1:8" x14ac:dyDescent="0.35">
      <c r="A11" s="94">
        <v>24</v>
      </c>
      <c r="B11" s="95"/>
      <c r="C11" s="34">
        <f>9957.5775</f>
        <v>9957.5774999999994</v>
      </c>
      <c r="D11" s="34">
        <f>9958.9225</f>
        <v>9958.9225000000006</v>
      </c>
      <c r="E11" s="34">
        <v>9959.2613034874157</v>
      </c>
      <c r="F11" s="96">
        <f t="shared" si="0"/>
        <v>4.3099840297499716E-4</v>
      </c>
      <c r="G11" s="96">
        <f t="shared" si="0"/>
        <v>5.329991946079343E-4</v>
      </c>
      <c r="H11" s="96">
        <f t="shared" si="1"/>
        <v>5.6700000000006084E-4</v>
      </c>
    </row>
    <row r="12" spans="1:8" x14ac:dyDescent="0.35">
      <c r="A12" s="94">
        <v>25</v>
      </c>
      <c r="B12" s="95"/>
      <c r="C12" s="34">
        <f>9951.9913</f>
        <v>9951.9912999999997</v>
      </c>
      <c r="D12" s="34">
        <f>9953.2858</f>
        <v>9953.2857999999997</v>
      </c>
      <c r="E12" s="34">
        <v>9953.6144023283377</v>
      </c>
      <c r="F12" s="96">
        <f t="shared" si="0"/>
        <v>4.3499837062749606E-4</v>
      </c>
      <c r="G12" s="96">
        <f t="shared" si="0"/>
        <v>5.3300422895306268E-4</v>
      </c>
      <c r="H12" s="96">
        <f t="shared" si="1"/>
        <v>5.6599999999987151E-4</v>
      </c>
    </row>
    <row r="13" spans="1:8" x14ac:dyDescent="0.35">
      <c r="A13" s="94">
        <v>26</v>
      </c>
      <c r="B13" s="95"/>
      <c r="C13" s="34">
        <f>9946.3982</f>
        <v>9946.3981999999996</v>
      </c>
      <c r="D13" s="34">
        <f>9947.6622</f>
        <v>9947.6622000000007</v>
      </c>
      <c r="E13" s="34">
        <v>9947.9806565766212</v>
      </c>
      <c r="F13" s="96">
        <f t="shared" si="0"/>
        <v>4.3999847100422682E-4</v>
      </c>
      <c r="G13" s="96">
        <f t="shared" si="0"/>
        <v>5.3500494374031512E-4</v>
      </c>
      <c r="H13" s="96">
        <f t="shared" si="1"/>
        <v>5.6700000000002365E-4</v>
      </c>
    </row>
    <row r="14" spans="1:8" x14ac:dyDescent="0.35">
      <c r="A14" s="94">
        <v>27</v>
      </c>
      <c r="B14" s="95"/>
      <c r="C14" s="34">
        <f>9940.7984</f>
        <v>9940.7983999999997</v>
      </c>
      <c r="D14" s="34">
        <f>9942.0218</f>
        <v>9942.0218000000004</v>
      </c>
      <c r="E14" s="34">
        <v>9942.340151544342</v>
      </c>
      <c r="F14" s="96">
        <f t="shared" si="0"/>
        <v>4.4699628955350342E-4</v>
      </c>
      <c r="G14" s="96">
        <f t="shared" si="0"/>
        <v>5.3799744655943604E-4</v>
      </c>
      <c r="H14" s="96">
        <f t="shared" si="1"/>
        <v>5.6999999999995379E-4</v>
      </c>
    </row>
    <row r="15" spans="1:8" x14ac:dyDescent="0.35">
      <c r="A15" s="94">
        <v>28</v>
      </c>
      <c r="B15" s="95"/>
      <c r="C15" s="34">
        <f>9935.1818</f>
        <v>9935.1818000000003</v>
      </c>
      <c r="D15" s="34">
        <f>9936.3549</f>
        <v>9936.3549000000003</v>
      </c>
      <c r="E15" s="34">
        <v>9936.6730176579622</v>
      </c>
      <c r="F15" s="96">
        <f t="shared" si="0"/>
        <v>4.5499922306409512E-4</v>
      </c>
      <c r="G15" s="96">
        <f t="shared" si="0"/>
        <v>5.4200284796313925E-4</v>
      </c>
      <c r="H15" s="96">
        <f t="shared" si="1"/>
        <v>5.7399999999987355E-4</v>
      </c>
    </row>
    <row r="16" spans="1:8" x14ac:dyDescent="0.35">
      <c r="A16" s="94">
        <v>29</v>
      </c>
      <c r="B16" s="95"/>
      <c r="C16" s="34">
        <f>9929.5088</f>
        <v>9929.5087999999996</v>
      </c>
      <c r="D16" s="34">
        <f>9930.6613</f>
        <v>9930.6612999999998</v>
      </c>
      <c r="E16" s="34">
        <v>9930.9693673458278</v>
      </c>
      <c r="F16" s="96">
        <f t="shared" si="0"/>
        <v>4.649978254713642E-4</v>
      </c>
      <c r="G16" s="96">
        <f t="shared" si="0"/>
        <v>5.4899615670427721E-4</v>
      </c>
      <c r="H16" s="96">
        <f t="shared" si="1"/>
        <v>5.7999999999993387E-4</v>
      </c>
    </row>
    <row r="17" spans="1:8" x14ac:dyDescent="0.35">
      <c r="A17" s="94">
        <v>30</v>
      </c>
      <c r="B17" s="95"/>
      <c r="C17" s="34">
        <f>9923.7497</f>
        <v>9923.7497000000003</v>
      </c>
      <c r="D17" s="34">
        <f>9924.8916</f>
        <v>9924.8916000000008</v>
      </c>
      <c r="E17" s="34">
        <v>9925.2094051127679</v>
      </c>
      <c r="F17" s="96">
        <f t="shared" si="0"/>
        <v>4.7599951054795977E-4</v>
      </c>
      <c r="G17" s="96">
        <f t="shared" si="0"/>
        <v>5.5799787639493077E-4</v>
      </c>
      <c r="H17" s="96">
        <f t="shared" si="1"/>
        <v>5.9000000000003754E-4</v>
      </c>
    </row>
    <row r="18" spans="1:8" x14ac:dyDescent="0.35">
      <c r="A18" s="94">
        <v>31</v>
      </c>
      <c r="B18" s="95"/>
      <c r="C18" s="34">
        <f>9917.9145</f>
        <v>9917.9145000000008</v>
      </c>
      <c r="D18" s="34">
        <f>9919.026</f>
        <v>9919.0259999999998</v>
      </c>
      <c r="E18" s="34">
        <v>9919.3535315637509</v>
      </c>
      <c r="F18" s="96">
        <f t="shared" si="0"/>
        <v>4.900022076213883E-4</v>
      </c>
      <c r="G18" s="96">
        <f t="shared" si="0"/>
        <v>5.6899934149291212E-4</v>
      </c>
      <c r="H18" s="96">
        <f t="shared" si="1"/>
        <v>6.020000000000812E-4</v>
      </c>
    </row>
    <row r="19" spans="1:8" x14ac:dyDescent="0.35">
      <c r="A19" s="94">
        <v>32</v>
      </c>
      <c r="B19" s="95"/>
      <c r="C19" s="34">
        <f>9911.9538</f>
        <v>9911.9537999999993</v>
      </c>
      <c r="D19" s="34">
        <f>9913.0547</f>
        <v>9913.0547000000006</v>
      </c>
      <c r="E19" s="34">
        <v>9913.3820807377488</v>
      </c>
      <c r="F19" s="96">
        <f t="shared" si="0"/>
        <v>5.0699388853076921E-4</v>
      </c>
      <c r="G19" s="96">
        <f t="shared" si="0"/>
        <v>5.8399516408060926E-4</v>
      </c>
      <c r="H19" s="96">
        <f t="shared" si="1"/>
        <v>6.1699999999995309E-4</v>
      </c>
    </row>
    <row r="20" spans="1:8" x14ac:dyDescent="0.35">
      <c r="A20" s="94">
        <v>33</v>
      </c>
      <c r="B20" s="95"/>
      <c r="C20" s="34">
        <f>9905.8282</f>
        <v>9905.8281999999999</v>
      </c>
      <c r="D20" s="34">
        <f>9906.9285</f>
        <v>9906.9285</v>
      </c>
      <c r="E20" s="34">
        <v>9907.265523993934</v>
      </c>
      <c r="F20" s="96">
        <f t="shared" si="0"/>
        <v>5.2700288099082461E-4</v>
      </c>
      <c r="G20" s="96">
        <f t="shared" si="0"/>
        <v>6.0200261658548864E-4</v>
      </c>
      <c r="H20" s="96">
        <f t="shared" si="1"/>
        <v>6.3599999999992547E-4</v>
      </c>
    </row>
    <row r="21" spans="1:8" x14ac:dyDescent="0.35">
      <c r="A21" s="94">
        <v>34</v>
      </c>
      <c r="B21" s="95"/>
      <c r="C21" s="34">
        <f>9899.4984</f>
        <v>9899.4984000000004</v>
      </c>
      <c r="D21" s="34">
        <f>9900.6078</f>
        <v>9900.6077999999998</v>
      </c>
      <c r="E21" s="34">
        <v>9900.9645031206746</v>
      </c>
      <c r="F21" s="96">
        <f t="shared" si="0"/>
        <v>5.5000766503493991E-4</v>
      </c>
      <c r="G21" s="96">
        <f t="shared" si="0"/>
        <v>6.2399537242399281E-4</v>
      </c>
      <c r="H21" s="96">
        <f t="shared" si="1"/>
        <v>6.6000000000001095E-4</v>
      </c>
    </row>
    <row r="22" spans="1:8" x14ac:dyDescent="0.35">
      <c r="A22" s="94">
        <v>35</v>
      </c>
      <c r="B22" s="95"/>
      <c r="C22" s="34">
        <f>9892.9151</f>
        <v>9892.9151000000002</v>
      </c>
      <c r="D22" s="34">
        <f>9894.0536</f>
        <v>9894.0535999999993</v>
      </c>
      <c r="E22" s="34">
        <v>9894.4298665486149</v>
      </c>
      <c r="F22" s="96">
        <f t="shared" si="0"/>
        <v>5.7699878572706469E-4</v>
      </c>
      <c r="G22" s="96">
        <f t="shared" si="0"/>
        <v>6.5099663796410574E-4</v>
      </c>
      <c r="H22" s="96">
        <f t="shared" si="1"/>
        <v>6.8900000000002672E-4</v>
      </c>
    </row>
    <row r="23" spans="1:8" x14ac:dyDescent="0.35">
      <c r="A23" s="94">
        <v>36</v>
      </c>
      <c r="B23" s="95"/>
      <c r="C23" s="34">
        <f>9886.0395</f>
        <v>9886.0395000000008</v>
      </c>
      <c r="D23" s="34">
        <f>9887.2069</f>
        <v>9887.2068999999992</v>
      </c>
      <c r="E23" s="34">
        <v>9887.6126043705626</v>
      </c>
      <c r="F23" s="96">
        <f t="shared" si="0"/>
        <v>6.0799878454872894E-4</v>
      </c>
      <c r="G23" s="96">
        <f t="shared" si="0"/>
        <v>6.829964441222616E-4</v>
      </c>
      <c r="H23" s="96">
        <f t="shared" si="1"/>
        <v>7.2400000000002031E-4</v>
      </c>
    </row>
    <row r="24" spans="1:8" x14ac:dyDescent="0.35">
      <c r="A24" s="94">
        <v>37</v>
      </c>
      <c r="B24" s="95"/>
      <c r="C24" s="34">
        <f>9878.8128</f>
        <v>9878.8127999999997</v>
      </c>
      <c r="D24" s="34">
        <f>9880.0288</f>
        <v>9880.0288</v>
      </c>
      <c r="E24" s="34">
        <v>9880.4539728449981</v>
      </c>
      <c r="F24" s="96">
        <f t="shared" si="0"/>
        <v>6.4400451033945808E-4</v>
      </c>
      <c r="G24" s="96">
        <f t="shared" si="0"/>
        <v>7.2199935735299157E-4</v>
      </c>
      <c r="H24" s="96">
        <f t="shared" si="1"/>
        <v>7.6500000000007205E-4</v>
      </c>
    </row>
    <row r="25" spans="1:8" x14ac:dyDescent="0.35">
      <c r="A25" s="94">
        <v>38</v>
      </c>
      <c r="B25" s="95"/>
      <c r="C25" s="34">
        <f>9871.1665</f>
        <v>9871.1664999999994</v>
      </c>
      <c r="D25" s="34">
        <f>9872.4508</f>
        <v>9872.4508000000005</v>
      </c>
      <c r="E25" s="34">
        <v>9872.895425555771</v>
      </c>
      <c r="F25" s="96">
        <f t="shared" si="0"/>
        <v>6.8500516124413678E-4</v>
      </c>
      <c r="G25" s="96">
        <f t="shared" si="0"/>
        <v>7.6799961618503171E-4</v>
      </c>
      <c r="H25" s="96">
        <f t="shared" si="1"/>
        <v>8.1299999999992305E-4</v>
      </c>
    </row>
    <row r="26" spans="1:8" x14ac:dyDescent="0.35">
      <c r="A26" s="94">
        <v>39</v>
      </c>
      <c r="B26" s="95"/>
      <c r="C26" s="34">
        <f>9863.0227</f>
        <v>9863.0226999999995</v>
      </c>
      <c r="D26" s="34">
        <f>9864.4047</f>
        <v>9864.4046999999991</v>
      </c>
      <c r="E26" s="34">
        <v>9864.8687615747949</v>
      </c>
      <c r="F26" s="96">
        <f t="shared" si="0"/>
        <v>7.3300044214627579E-4</v>
      </c>
      <c r="G26" s="96">
        <f t="shared" si="0"/>
        <v>8.2299687560214731E-4</v>
      </c>
      <c r="H26" s="96">
        <f t="shared" si="1"/>
        <v>8.7000000000008544E-4</v>
      </c>
    </row>
    <row r="27" spans="1:8" x14ac:dyDescent="0.35">
      <c r="A27" s="94">
        <v>40</v>
      </c>
      <c r="B27" s="95"/>
      <c r="C27" s="34">
        <f>9854.3036</f>
        <v>9854.3035999999993</v>
      </c>
      <c r="D27" s="34">
        <f>9855.7931</f>
        <v>9855.7931000000008</v>
      </c>
      <c r="E27" s="34">
        <v>9856.286325752224</v>
      </c>
      <c r="F27" s="96">
        <f t="shared" si="0"/>
        <v>7.8800088927641961E-4</v>
      </c>
      <c r="G27" s="96">
        <f t="shared" si="0"/>
        <v>8.8700264365385105E-4</v>
      </c>
      <c r="H27" s="96">
        <f t="shared" si="1"/>
        <v>9.3699999999987576E-4</v>
      </c>
    </row>
    <row r="28" spans="1:8" x14ac:dyDescent="0.35">
      <c r="A28" s="94">
        <v>41</v>
      </c>
      <c r="B28" s="95"/>
      <c r="C28" s="34">
        <f>9844.9025</f>
        <v>9844.9025000000001</v>
      </c>
      <c r="D28" s="34">
        <f>9846.5384</f>
        <v>9846.5383999999995</v>
      </c>
      <c r="E28" s="34">
        <v>9847.0509854649954</v>
      </c>
      <c r="F28" s="96">
        <f t="shared" si="0"/>
        <v>8.5099877830182788E-4</v>
      </c>
      <c r="G28" s="96">
        <f t="shared" si="0"/>
        <v>9.619953581112634E-4</v>
      </c>
      <c r="H28" s="96">
        <f t="shared" si="1"/>
        <v>1.0139999999998718E-3</v>
      </c>
    </row>
    <row r="29" spans="1:8" x14ac:dyDescent="0.35">
      <c r="A29" s="94">
        <v>42</v>
      </c>
      <c r="B29" s="95"/>
      <c r="C29" s="34">
        <f>9834.703</f>
        <v>9834.7029999999995</v>
      </c>
      <c r="D29" s="34">
        <f>9836.5245</f>
        <v>9836.5244999999995</v>
      </c>
      <c r="E29" s="34">
        <v>9837.0660757657351</v>
      </c>
      <c r="F29" s="96">
        <f t="shared" si="0"/>
        <v>9.2200038984403614E-4</v>
      </c>
      <c r="G29" s="96">
        <f t="shared" si="0"/>
        <v>1.0490031496297235E-3</v>
      </c>
      <c r="H29" s="96">
        <f t="shared" si="1"/>
        <v>1.1040000000000186E-3</v>
      </c>
    </row>
    <row r="30" spans="1:8" x14ac:dyDescent="0.35">
      <c r="A30" s="94">
        <v>43</v>
      </c>
      <c r="B30" s="95"/>
      <c r="C30" s="34">
        <f>9823.5994</f>
        <v>9823.5993999999992</v>
      </c>
      <c r="D30" s="34">
        <f>9825.6354</f>
        <v>9825.6353999999992</v>
      </c>
      <c r="E30" s="34">
        <v>9826.2059548180896</v>
      </c>
      <c r="F30" s="96">
        <f t="shared" si="0"/>
        <v>1.0030030336943962E-3</v>
      </c>
      <c r="G30" s="96">
        <f t="shared" si="0"/>
        <v>1.1500021642700986E-3</v>
      </c>
      <c r="H30" s="96">
        <f t="shared" si="1"/>
        <v>1.2079999999999012E-3</v>
      </c>
    </row>
    <row r="31" spans="1:8" x14ac:dyDescent="0.35">
      <c r="A31" s="94">
        <v>44</v>
      </c>
      <c r="B31" s="95"/>
      <c r="C31" s="34">
        <f>9811.4473</f>
        <v>9811.4472999999998</v>
      </c>
      <c r="D31" s="34">
        <f>9813.7463</f>
        <v>9813.7463000000007</v>
      </c>
      <c r="E31" s="34">
        <v>9814.3358980246703</v>
      </c>
      <c r="F31" s="96">
        <f t="shared" si="0"/>
        <v>1.0960054792323658E-3</v>
      </c>
      <c r="G31" s="96">
        <f t="shared" si="0"/>
        <v>1.2670009323564146E-3</v>
      </c>
      <c r="H31" s="96">
        <f t="shared" si="1"/>
        <v>1.3270000000000194E-3</v>
      </c>
    </row>
    <row r="32" spans="1:8" x14ac:dyDescent="0.35">
      <c r="A32" s="94">
        <v>45</v>
      </c>
      <c r="B32" s="95"/>
      <c r="C32" s="34">
        <f>9798.0837</f>
        <v>9798.0836999999992</v>
      </c>
      <c r="D32" s="34">
        <f>9800.6939</f>
        <v>9800.6939000000002</v>
      </c>
      <c r="E32" s="34">
        <v>9801.3122742879914</v>
      </c>
      <c r="F32" s="96">
        <f t="shared" si="0"/>
        <v>1.2010001506723123E-3</v>
      </c>
      <c r="G32" s="96">
        <f t="shared" si="0"/>
        <v>1.4019974844679485E-3</v>
      </c>
      <c r="H32" s="96">
        <f t="shared" si="1"/>
        <v>1.4649999999999626E-3</v>
      </c>
    </row>
    <row r="33" spans="1:8" x14ac:dyDescent="0.35">
      <c r="A33" s="94">
        <v>46</v>
      </c>
      <c r="B33" s="95"/>
      <c r="C33" s="34">
        <f>9783.3371</f>
        <v>9783.3371000000006</v>
      </c>
      <c r="D33" s="34">
        <f>9786.3162</f>
        <v>9786.3161999999993</v>
      </c>
      <c r="E33" s="34">
        <v>9786.9533518061598</v>
      </c>
      <c r="F33" s="96">
        <f t="shared" si="0"/>
        <v>1.3199994917890204E-3</v>
      </c>
      <c r="G33" s="96">
        <f t="shared" si="0"/>
        <v>1.5569992036911344E-3</v>
      </c>
      <c r="H33" s="96">
        <f t="shared" si="1"/>
        <v>1.6220000000000613E-3</v>
      </c>
    </row>
    <row r="34" spans="1:8" x14ac:dyDescent="0.35">
      <c r="A34" s="94">
        <v>47</v>
      </c>
      <c r="B34" s="95"/>
      <c r="C34" s="34">
        <f>9766.9983</f>
        <v>9766.9982999999993</v>
      </c>
      <c r="D34" s="34">
        <f>9770.4231</f>
        <v>9770.4231</v>
      </c>
      <c r="E34" s="34">
        <v>9771.0789134695297</v>
      </c>
      <c r="F34" s="96">
        <f t="shared" si="0"/>
        <v>1.4549915504746263E-3</v>
      </c>
      <c r="G34" s="96">
        <f t="shared" si="0"/>
        <v>1.7349986340450261E-3</v>
      </c>
      <c r="H34" s="96">
        <f t="shared" si="1"/>
        <v>1.8019999999999542E-3</v>
      </c>
    </row>
    <row r="35" spans="1:8" x14ac:dyDescent="0.35">
      <c r="A35" s="94">
        <v>48</v>
      </c>
      <c r="B35" s="95"/>
      <c r="C35" s="34">
        <f>9748.8603</f>
        <v>9748.8603000000003</v>
      </c>
      <c r="D35" s="34">
        <f>9752.7874</f>
        <v>9752.7873999999993</v>
      </c>
      <c r="E35" s="34">
        <v>9753.471429267458</v>
      </c>
      <c r="F35" s="96">
        <f t="shared" si="0"/>
        <v>1.607008359736284E-3</v>
      </c>
      <c r="G35" s="96">
        <f t="shared" si="0"/>
        <v>1.9380040379543097E-3</v>
      </c>
      <c r="H35" s="96">
        <f t="shared" si="1"/>
        <v>2.0079999999999599E-3</v>
      </c>
    </row>
    <row r="36" spans="1:8" x14ac:dyDescent="0.35">
      <c r="A36" s="94">
        <v>49</v>
      </c>
      <c r="B36" s="95"/>
      <c r="C36" s="34">
        <f>9728.6499</f>
        <v>9728.6499000000003</v>
      </c>
      <c r="D36" s="34">
        <f>9733.1938</f>
        <v>9733.1937999999991</v>
      </c>
      <c r="E36" s="34">
        <v>9733.8864586374893</v>
      </c>
      <c r="F36" s="96">
        <f t="shared" ref="F36:G67" si="2">(C36-D37)/C36</f>
        <v>1.7779959375453095E-3</v>
      </c>
      <c r="G36" s="96">
        <f t="shared" si="2"/>
        <v>2.1699949009869116E-3</v>
      </c>
      <c r="H36" s="96">
        <f t="shared" si="1"/>
        <v>2.2410000000001075E-3</v>
      </c>
    </row>
    <row r="37" spans="1:8" x14ac:dyDescent="0.35">
      <c r="A37" s="94">
        <v>50</v>
      </c>
      <c r="B37" s="95"/>
      <c r="C37" s="34">
        <f>9706.0977</f>
        <v>9706.0977000000003</v>
      </c>
      <c r="D37" s="34">
        <f>9711.3524</f>
        <v>9711.3523999999998</v>
      </c>
      <c r="E37" s="34">
        <v>9712.0728190836817</v>
      </c>
      <c r="F37" s="96">
        <f t="shared" si="2"/>
        <v>1.9710083899115109E-3</v>
      </c>
      <c r="G37" s="96">
        <f t="shared" si="2"/>
        <v>2.434002863141761E-3</v>
      </c>
      <c r="H37" s="96">
        <f t="shared" si="1"/>
        <v>2.5079999999998615E-3</v>
      </c>
    </row>
    <row r="38" spans="1:8" x14ac:dyDescent="0.35">
      <c r="A38" s="94">
        <v>51</v>
      </c>
      <c r="B38" s="95"/>
      <c r="C38" s="34">
        <f>9680.899</f>
        <v>9680.8989999999994</v>
      </c>
      <c r="D38" s="34">
        <f>9686.9669</f>
        <v>9686.9668999999994</v>
      </c>
      <c r="E38" s="34">
        <v>9687.7149404534211</v>
      </c>
      <c r="F38" s="96">
        <f t="shared" si="2"/>
        <v>2.1890012487475593E-3</v>
      </c>
      <c r="G38" s="96">
        <f t="shared" si="2"/>
        <v>2.7319955861841161E-3</v>
      </c>
      <c r="H38" s="96">
        <f t="shared" si="1"/>
        <v>2.8089999999999665E-3</v>
      </c>
    </row>
    <row r="39" spans="1:8" x14ac:dyDescent="0.35">
      <c r="A39" s="94">
        <v>52</v>
      </c>
      <c r="B39" s="95"/>
      <c r="C39" s="34">
        <f>9652.6965</f>
        <v>9652.6965</v>
      </c>
      <c r="D39" s="34">
        <f>9659.7075</f>
        <v>9659.7075000000004</v>
      </c>
      <c r="E39" s="34">
        <v>9660.5021491856878</v>
      </c>
      <c r="F39" s="96">
        <f t="shared" si="2"/>
        <v>2.4329989034670863E-3</v>
      </c>
      <c r="G39" s="96">
        <f t="shared" si="2"/>
        <v>3.069994985722471E-3</v>
      </c>
      <c r="H39" s="96">
        <f t="shared" si="1"/>
        <v>3.1519999999999829E-3</v>
      </c>
    </row>
    <row r="40" spans="1:8" x14ac:dyDescent="0.35">
      <c r="A40" s="94">
        <v>53</v>
      </c>
      <c r="B40" s="95"/>
      <c r="C40" s="34">
        <f>9621.1006</f>
        <v>9621.1005999999998</v>
      </c>
      <c r="D40" s="34">
        <f>9629.2115</f>
        <v>9629.2114999999994</v>
      </c>
      <c r="E40" s="34">
        <v>9630.0522464114547</v>
      </c>
      <c r="F40" s="96">
        <f t="shared" si="2"/>
        <v>2.7069979914771461E-3</v>
      </c>
      <c r="G40" s="96">
        <f t="shared" si="2"/>
        <v>3.4519969250435467E-3</v>
      </c>
      <c r="H40" s="96">
        <f t="shared" si="1"/>
        <v>3.5389999999999042E-3</v>
      </c>
    </row>
    <row r="41" spans="1:8" x14ac:dyDescent="0.35">
      <c r="A41" s="94">
        <v>54</v>
      </c>
      <c r="B41" s="95"/>
      <c r="C41" s="34">
        <f>9585.6916</f>
        <v>9585.6916000000001</v>
      </c>
      <c r="D41" s="34">
        <f>9595.0563</f>
        <v>9595.0563000000002</v>
      </c>
      <c r="E41" s="34">
        <v>9595.9714915114055</v>
      </c>
      <c r="F41" s="96">
        <f t="shared" si="2"/>
        <v>3.0140026620509384E-3</v>
      </c>
      <c r="G41" s="96">
        <f t="shared" si="2"/>
        <v>3.8809976694815468E-3</v>
      </c>
      <c r="H41" s="96">
        <f t="shared" si="1"/>
        <v>3.9760000000000177E-3</v>
      </c>
    </row>
    <row r="42" spans="1:8" x14ac:dyDescent="0.35">
      <c r="A42" s="94">
        <v>55</v>
      </c>
      <c r="B42" s="95"/>
      <c r="C42" s="34">
        <f>9545.9929</f>
        <v>9545.9928999999993</v>
      </c>
      <c r="D42" s="34">
        <f>9556.8003</f>
        <v>9556.8003000000008</v>
      </c>
      <c r="E42" s="34">
        <v>9557.817908861156</v>
      </c>
      <c r="F42" s="96">
        <f t="shared" si="2"/>
        <v>3.3579953741636748E-3</v>
      </c>
      <c r="G42" s="96">
        <f t="shared" si="2"/>
        <v>4.3629957794080534E-3</v>
      </c>
      <c r="H42" s="96">
        <f t="shared" si="1"/>
        <v>4.4690000000000294E-3</v>
      </c>
    </row>
    <row r="43" spans="1:8" x14ac:dyDescent="0.35">
      <c r="A43" s="94">
        <v>56</v>
      </c>
      <c r="B43" s="95"/>
      <c r="C43" s="34">
        <f>9501.4839</f>
        <v>9501.4838999999993</v>
      </c>
      <c r="D43" s="34">
        <f>9513.9375</f>
        <v>9513.9375</v>
      </c>
      <c r="E43" s="34">
        <v>9515.1040206264552</v>
      </c>
      <c r="F43" s="96">
        <f t="shared" si="2"/>
        <v>3.7420049725074506E-3</v>
      </c>
      <c r="G43" s="96">
        <f t="shared" si="2"/>
        <v>4.9030043635657347E-3</v>
      </c>
      <c r="H43" s="96">
        <f t="shared" si="1"/>
        <v>5.0249999999998846E-3</v>
      </c>
    </row>
    <row r="44" spans="1:8" x14ac:dyDescent="0.35">
      <c r="A44" s="94">
        <v>57</v>
      </c>
      <c r="B44" s="95"/>
      <c r="C44" s="34">
        <f>9451.5938</f>
        <v>9451.5938000000006</v>
      </c>
      <c r="D44" s="34">
        <f>9465.9293</f>
        <v>9465.9292999999998</v>
      </c>
      <c r="E44" s="34">
        <v>9467.2906229228083</v>
      </c>
      <c r="F44" s="96">
        <f t="shared" si="2"/>
        <v>4.1710002391342586E-3</v>
      </c>
      <c r="G44" s="96">
        <f t="shared" si="2"/>
        <v>5.5069996240839107E-3</v>
      </c>
      <c r="H44" s="96">
        <f t="shared" si="1"/>
        <v>5.6499999999999519E-3</v>
      </c>
    </row>
    <row r="45" spans="1:8" x14ac:dyDescent="0.35">
      <c r="A45" s="94">
        <v>58</v>
      </c>
      <c r="B45" s="95"/>
      <c r="C45" s="34">
        <f>9395.6971</f>
        <v>9395.6970999999994</v>
      </c>
      <c r="D45" s="34">
        <f>9412.1712</f>
        <v>9412.1712000000007</v>
      </c>
      <c r="E45" s="34">
        <v>9413.8004309032949</v>
      </c>
      <c r="F45" s="96">
        <f t="shared" si="2"/>
        <v>4.6490004451079725E-3</v>
      </c>
      <c r="G45" s="96">
        <f t="shared" si="2"/>
        <v>6.1800012130892911E-3</v>
      </c>
      <c r="H45" s="96">
        <f t="shared" si="1"/>
        <v>6.3520000000000633E-3</v>
      </c>
    </row>
    <row r="46" spans="1:8" x14ac:dyDescent="0.35">
      <c r="A46" s="94">
        <v>59</v>
      </c>
      <c r="B46" s="95"/>
      <c r="C46" s="34">
        <f>9333.1284</f>
        <v>9333.1283999999996</v>
      </c>
      <c r="D46" s="34">
        <f>9352.0165</f>
        <v>9352.0164999999997</v>
      </c>
      <c r="E46" s="34">
        <v>9354.0039705661966</v>
      </c>
      <c r="F46" s="96">
        <f t="shared" si="2"/>
        <v>5.1820030676958517E-3</v>
      </c>
      <c r="G46" s="96">
        <f t="shared" si="2"/>
        <v>6.9289995140242519E-3</v>
      </c>
      <c r="H46" s="96">
        <f t="shared" si="1"/>
        <v>7.1400000000001072E-3</v>
      </c>
    </row>
    <row r="47" spans="1:8" x14ac:dyDescent="0.35">
      <c r="A47" s="94">
        <v>60</v>
      </c>
      <c r="B47" s="95"/>
      <c r="C47" s="34">
        <f>9263.1422</f>
        <v>9263.1422000000002</v>
      </c>
      <c r="D47" s="34">
        <f>9284.7641</f>
        <v>9284.7641000000003</v>
      </c>
      <c r="E47" s="34">
        <v>9287.2163822163529</v>
      </c>
      <c r="F47" s="96">
        <f t="shared" si="2"/>
        <v>5.7740018284507793E-3</v>
      </c>
      <c r="G47" s="96">
        <f t="shared" si="2"/>
        <v>7.759999804603286E-3</v>
      </c>
      <c r="H47" s="96">
        <f t="shared" si="1"/>
        <v>8.022000000000069E-3</v>
      </c>
    </row>
    <row r="48" spans="1:8" x14ac:dyDescent="0.35">
      <c r="A48" s="94">
        <v>61</v>
      </c>
      <c r="B48" s="95"/>
      <c r="C48" s="34">
        <f>9184.9687</f>
        <v>9184.9686999999994</v>
      </c>
      <c r="D48" s="34">
        <f>9209.6568</f>
        <v>9209.6568000000007</v>
      </c>
      <c r="E48" s="34">
        <v>9212.7143323982127</v>
      </c>
      <c r="F48" s="96">
        <f t="shared" si="2"/>
        <v>6.4329996029273617E-3</v>
      </c>
      <c r="G48" s="96">
        <f t="shared" si="2"/>
        <v>8.6799989140056398E-3</v>
      </c>
      <c r="H48" s="96">
        <f t="shared" si="1"/>
        <v>9.0090000000001332E-3</v>
      </c>
    </row>
    <row r="49" spans="1:8" x14ac:dyDescent="0.35">
      <c r="A49" s="94">
        <v>62</v>
      </c>
      <c r="B49" s="95"/>
      <c r="C49" s="34">
        <f>9097.7405</f>
        <v>9097.7404999999999</v>
      </c>
      <c r="D49" s="34">
        <f>9125.8818</f>
        <v>9125.8817999999992</v>
      </c>
      <c r="E49" s="34">
        <v>9129.716988977636</v>
      </c>
      <c r="F49" s="96">
        <f t="shared" si="2"/>
        <v>7.1640095691890941E-3</v>
      </c>
      <c r="G49" s="96">
        <f t="shared" si="2"/>
        <v>9.6959955381960353E-3</v>
      </c>
      <c r="H49" s="96">
        <f t="shared" si="1"/>
        <v>1.0111999999999927E-2</v>
      </c>
    </row>
    <row r="50" spans="1:8" x14ac:dyDescent="0.35">
      <c r="A50" s="94">
        <v>63</v>
      </c>
      <c r="B50" s="95"/>
      <c r="C50" s="34">
        <f>9000.5884</f>
        <v>9000.5884000000005</v>
      </c>
      <c r="D50" s="34">
        <f>9032.5642</f>
        <v>9032.5642000000007</v>
      </c>
      <c r="E50" s="34">
        <v>9037.3972907850948</v>
      </c>
      <c r="F50" s="96">
        <f t="shared" si="2"/>
        <v>7.9740008997635017E-3</v>
      </c>
      <c r="G50" s="96">
        <f t="shared" si="2"/>
        <v>1.0814995821626389E-2</v>
      </c>
      <c r="H50" s="96">
        <f t="shared" si="1"/>
        <v>1.134400000000001E-2</v>
      </c>
    </row>
    <row r="51" spans="1:8" x14ac:dyDescent="0.35">
      <c r="A51" s="94">
        <v>64</v>
      </c>
      <c r="B51" s="95"/>
      <c r="C51" s="34">
        <f>8892.5741</f>
        <v>8892.5740999999998</v>
      </c>
      <c r="D51" s="34">
        <f>8928.8177</f>
        <v>8928.8176999999996</v>
      </c>
      <c r="E51" s="34">
        <v>8934.8770559184286</v>
      </c>
      <c r="F51" s="96">
        <f t="shared" si="2"/>
        <v>8.8709972065344304E-3</v>
      </c>
      <c r="G51" s="96">
        <f t="shared" si="2"/>
        <v>1.2046000303559628E-2</v>
      </c>
      <c r="H51" s="96">
        <f t="shared" si="1"/>
        <v>1.271599999999987E-2</v>
      </c>
    </row>
    <row r="52" spans="1:8" x14ac:dyDescent="0.35">
      <c r="A52" s="94">
        <v>65</v>
      </c>
      <c r="B52" s="95"/>
      <c r="C52" s="34">
        <f>8772.7359</f>
        <v>8772.7358999999997</v>
      </c>
      <c r="D52" s="34">
        <f>8813.6881</f>
        <v>8813.6880999999994</v>
      </c>
      <c r="E52" s="34">
        <v>8821.261159275371</v>
      </c>
      <c r="F52" s="96">
        <f t="shared" si="2"/>
        <v>9.864003771046995E-3</v>
      </c>
      <c r="G52" s="96">
        <f t="shared" si="2"/>
        <v>1.3395999730939915E-2</v>
      </c>
      <c r="H52" s="96">
        <f t="shared" si="1"/>
        <v>1.4243000000000096E-2</v>
      </c>
    </row>
    <row r="53" spans="1:8" x14ac:dyDescent="0.35">
      <c r="A53" s="94">
        <v>66</v>
      </c>
      <c r="B53" s="95"/>
      <c r="C53" s="34">
        <f>8640.0481</f>
        <v>8640.0481</v>
      </c>
      <c r="D53" s="34">
        <f>8686.2016</f>
        <v>8686.2016000000003</v>
      </c>
      <c r="E53" s="34">
        <v>8695.6199365838111</v>
      </c>
      <c r="F53" s="96">
        <f t="shared" si="2"/>
        <v>1.0959996854647188E-2</v>
      </c>
      <c r="G53" s="96">
        <f t="shared" si="2"/>
        <v>1.4872996409078921E-2</v>
      </c>
      <c r="H53" s="96">
        <f t="shared" si="1"/>
        <v>1.5940000000000044E-2</v>
      </c>
    </row>
    <row r="54" spans="1:8" x14ac:dyDescent="0.35">
      <c r="A54" s="94">
        <v>67</v>
      </c>
      <c r="B54" s="95"/>
      <c r="C54" s="34">
        <f>8493.5187</f>
        <v>8493.5187000000005</v>
      </c>
      <c r="D54" s="34">
        <f>8545.3532</f>
        <v>8545.3531999999996</v>
      </c>
      <c r="E54" s="34">
        <v>8557.0117547946647</v>
      </c>
      <c r="F54" s="96">
        <f t="shared" si="2"/>
        <v>1.2168996578532426E-2</v>
      </c>
      <c r="G54" s="96">
        <f t="shared" si="2"/>
        <v>1.6484002407623596E-2</v>
      </c>
      <c r="H54" s="96">
        <f t="shared" si="1"/>
        <v>1.7823999999999889E-2</v>
      </c>
    </row>
    <row r="55" spans="1:8" x14ac:dyDescent="0.35">
      <c r="A55" s="94">
        <v>68</v>
      </c>
      <c r="B55" s="95"/>
      <c r="C55" s="34">
        <f>8332.1396</f>
        <v>8332.1396000000004</v>
      </c>
      <c r="D55" s="34">
        <f>8390.1611</f>
        <v>8390.1610999999994</v>
      </c>
      <c r="E55" s="34">
        <v>8404.4915772772056</v>
      </c>
      <c r="F55" s="96">
        <f t="shared" si="2"/>
        <v>1.3502006135375026E-2</v>
      </c>
      <c r="G55" s="96">
        <f t="shared" si="2"/>
        <v>1.823900181143295E-2</v>
      </c>
      <c r="H55" s="96">
        <f t="shared" si="1"/>
        <v>1.9912999999999938E-2</v>
      </c>
    </row>
    <row r="56" spans="1:8" x14ac:dyDescent="0.35">
      <c r="A56" s="94">
        <v>69</v>
      </c>
      <c r="B56" s="95"/>
      <c r="C56" s="34">
        <f>8154.9318</f>
        <v>8154.9318000000003</v>
      </c>
      <c r="D56" s="34">
        <f>8219.639</f>
        <v>8219.6389999999992</v>
      </c>
      <c r="E56" s="34">
        <v>8237.1329364988851</v>
      </c>
      <c r="F56" s="96">
        <f t="shared" si="2"/>
        <v>1.4969003174250987E-2</v>
      </c>
      <c r="G56" s="96">
        <f t="shared" si="2"/>
        <v>2.0144994220273917E-2</v>
      </c>
      <c r="H56" s="96">
        <f t="shared" si="1"/>
        <v>2.2225999999999965E-2</v>
      </c>
    </row>
    <row r="57" spans="1:8" x14ac:dyDescent="0.35">
      <c r="A57" s="94">
        <v>70</v>
      </c>
      <c r="B57" s="95"/>
      <c r="C57" s="34">
        <f>7960.9776</f>
        <v>7960.9776000000002</v>
      </c>
      <c r="D57" s="34">
        <f>8032.8606</f>
        <v>8032.8606</v>
      </c>
      <c r="E57" s="34">
        <v>8054.0544198522612</v>
      </c>
      <c r="F57" s="96">
        <f t="shared" si="2"/>
        <v>1.6582008722144881E-2</v>
      </c>
      <c r="G57" s="96">
        <f t="shared" si="2"/>
        <v>2.220999712542468E-2</v>
      </c>
      <c r="H57" s="96">
        <f t="shared" si="1"/>
        <v>2.4782999999999972E-2</v>
      </c>
    </row>
    <row r="58" spans="1:8" x14ac:dyDescent="0.35">
      <c r="A58" s="94">
        <v>71</v>
      </c>
      <c r="B58" s="95"/>
      <c r="C58" s="34">
        <f>7749.4659</f>
        <v>7749.4659000000001</v>
      </c>
      <c r="D58" s="34">
        <f>7828.9686</f>
        <v>7828.9686000000002</v>
      </c>
      <c r="E58" s="34">
        <v>7854.4507891650628</v>
      </c>
      <c r="F58" s="96">
        <f t="shared" si="2"/>
        <v>1.8352993849550376E-2</v>
      </c>
      <c r="G58" s="96">
        <f t="shared" si="2"/>
        <v>2.4440994605678765E-2</v>
      </c>
      <c r="H58" s="96">
        <f t="shared" si="1"/>
        <v>2.7606000000000047E-2</v>
      </c>
    </row>
    <row r="59" spans="1:8" x14ac:dyDescent="0.35">
      <c r="A59" s="94">
        <v>72</v>
      </c>
      <c r="B59" s="95"/>
      <c r="C59" s="34">
        <f>7519.7027</f>
        <v>7519.7026999999998</v>
      </c>
      <c r="D59" s="34">
        <f>7607.24</f>
        <v>7607.24</v>
      </c>
      <c r="E59" s="34">
        <v>7637.6208206793717</v>
      </c>
      <c r="F59" s="96">
        <f t="shared" si="2"/>
        <v>2.0296001861882077E-2</v>
      </c>
      <c r="G59" s="96">
        <f t="shared" si="2"/>
        <v>2.6847005706439796E-2</v>
      </c>
      <c r="H59" s="96">
        <f t="shared" si="1"/>
        <v>3.0718000000000006E-2</v>
      </c>
    </row>
    <row r="60" spans="1:8" x14ac:dyDescent="0.35">
      <c r="A60" s="94">
        <v>73</v>
      </c>
      <c r="B60" s="95"/>
      <c r="C60" s="34">
        <f>7271.1461</f>
        <v>7271.1460999999999</v>
      </c>
      <c r="D60" s="34">
        <f>7367.0828</f>
        <v>7367.0828000000001</v>
      </c>
      <c r="E60" s="34">
        <v>7403.0083843097427</v>
      </c>
      <c r="F60" s="96">
        <f t="shared" si="2"/>
        <v>2.242299876218963E-2</v>
      </c>
      <c r="G60" s="96">
        <f t="shared" si="2"/>
        <v>2.9434002555818888E-2</v>
      </c>
      <c r="H60" s="96">
        <f t="shared" si="1"/>
        <v>3.4144000000000015E-2</v>
      </c>
    </row>
    <row r="61" spans="1:8" x14ac:dyDescent="0.35">
      <c r="A61" s="94">
        <v>74</v>
      </c>
      <c r="B61" s="95"/>
      <c r="C61" s="34">
        <f>7003.5216</f>
        <v>7003.5216</v>
      </c>
      <c r="D61" s="34">
        <f>7108.1052</f>
        <v>7108.1052</v>
      </c>
      <c r="E61" s="34">
        <v>7150.2400660358708</v>
      </c>
      <c r="F61" s="96">
        <f t="shared" si="2"/>
        <v>2.4750005768526498E-2</v>
      </c>
      <c r="G61" s="96">
        <f t="shared" si="2"/>
        <v>3.2208004618110513E-2</v>
      </c>
      <c r="H61" s="96">
        <f t="shared" si="1"/>
        <v>3.7911000000000035E-2</v>
      </c>
    </row>
    <row r="62" spans="1:8" x14ac:dyDescent="0.35">
      <c r="A62" s="94">
        <v>75</v>
      </c>
      <c r="B62" s="95"/>
      <c r="C62" s="34">
        <f>6716.8231</f>
        <v>6716.8230999999996</v>
      </c>
      <c r="D62" s="34">
        <f>6830.1844</f>
        <v>6830.1844000000001</v>
      </c>
      <c r="E62" s="34">
        <v>6879.1673148923846</v>
      </c>
      <c r="F62" s="96">
        <f t="shared" si="2"/>
        <v>2.7293007016963099E-2</v>
      </c>
      <c r="G62" s="96">
        <f t="shared" si="2"/>
        <v>3.5175998180895438E-2</v>
      </c>
      <c r="H62" s="96">
        <f t="shared" si="1"/>
        <v>4.2045999999999965E-2</v>
      </c>
    </row>
    <row r="63" spans="1:8" x14ac:dyDescent="0.35">
      <c r="A63" s="94">
        <v>76</v>
      </c>
      <c r="B63" s="95"/>
      <c r="C63" s="34">
        <f>6411.3459</f>
        <v>6411.3459000000003</v>
      </c>
      <c r="D63" s="34">
        <f>6533.5008</f>
        <v>6533.5007999999998</v>
      </c>
      <c r="E63" s="34">
        <v>6589.9258459704197</v>
      </c>
      <c r="F63" s="96">
        <f t="shared" si="2"/>
        <v>3.0067009798987826E-2</v>
      </c>
      <c r="G63" s="96">
        <f t="shared" si="2"/>
        <v>3.83439947054404E-2</v>
      </c>
      <c r="H63" s="96">
        <f t="shared" si="1"/>
        <v>4.6578000000000043E-2</v>
      </c>
    </row>
    <row r="64" spans="1:8" x14ac:dyDescent="0.35">
      <c r="A64" s="94">
        <v>77</v>
      </c>
      <c r="B64" s="95"/>
      <c r="C64" s="34">
        <f>6087.8084</f>
        <v>6087.8083999999999</v>
      </c>
      <c r="D64" s="34">
        <f>6218.5759</f>
        <v>6218.5758999999998</v>
      </c>
      <c r="E64" s="34">
        <v>6282.9802799168092</v>
      </c>
      <c r="F64" s="96">
        <f t="shared" si="2"/>
        <v>3.3090003292482073E-2</v>
      </c>
      <c r="G64" s="96">
        <f t="shared" si="2"/>
        <v>4.1714994223925599E-2</v>
      </c>
      <c r="H64" s="96">
        <f t="shared" si="1"/>
        <v>5.1537999999999966E-2</v>
      </c>
    </row>
    <row r="65" spans="1:8" x14ac:dyDescent="0.35">
      <c r="A65" s="94">
        <v>78</v>
      </c>
      <c r="B65" s="95"/>
      <c r="C65" s="34">
        <f>5747.3624</f>
        <v>5747.3624</v>
      </c>
      <c r="D65" s="34">
        <f>5886.3628</f>
        <v>5886.3627999999999</v>
      </c>
      <c r="E65" s="34">
        <v>5959.1680422504569</v>
      </c>
      <c r="F65" s="96">
        <f t="shared" si="2"/>
        <v>3.6379000565546424E-2</v>
      </c>
      <c r="G65" s="96">
        <f t="shared" si="2"/>
        <v>4.5291998101775137E-2</v>
      </c>
      <c r="H65" s="96">
        <f t="shared" si="1"/>
        <v>5.6955999999999958E-2</v>
      </c>
    </row>
    <row r="66" spans="1:8" x14ac:dyDescent="0.35">
      <c r="A66" s="94">
        <v>79</v>
      </c>
      <c r="B66" s="95"/>
      <c r="C66" s="34">
        <f>5391.64</f>
        <v>5391.64</v>
      </c>
      <c r="D66" s="34">
        <f>5538.2791</f>
        <v>5538.2790999999997</v>
      </c>
      <c r="E66" s="34">
        <v>5619.7576672360401</v>
      </c>
      <c r="F66" s="96">
        <f t="shared" si="2"/>
        <v>3.99540028636928E-2</v>
      </c>
      <c r="G66" s="96">
        <f t="shared" si="2"/>
        <v>4.9079999964264688E-2</v>
      </c>
      <c r="H66" s="96">
        <f t="shared" si="1"/>
        <v>6.2867000000000006E-2</v>
      </c>
    </row>
    <row r="67" spans="1:8" x14ac:dyDescent="0.35">
      <c r="A67" s="94">
        <v>80</v>
      </c>
      <c r="B67" s="95"/>
      <c r="C67" s="34">
        <f>5022.7931</f>
        <v>5022.7930999999999</v>
      </c>
      <c r="D67" s="34">
        <f>5176.2224</f>
        <v>5176.2223999999997</v>
      </c>
      <c r="E67" s="34">
        <v>5266.4603619699119</v>
      </c>
      <c r="F67" s="96">
        <f t="shared" si="2"/>
        <v>4.3833002000420833E-2</v>
      </c>
      <c r="G67" s="96">
        <f t="shared" si="2"/>
        <v>5.3078001535577117E-2</v>
      </c>
      <c r="H67" s="96">
        <f t="shared" si="1"/>
        <v>6.9303000000000017E-2</v>
      </c>
    </row>
    <row r="68" spans="1:8" x14ac:dyDescent="0.35">
      <c r="A68" s="94">
        <v>81</v>
      </c>
      <c r="B68" s="95"/>
      <c r="C68" s="34">
        <f>4643.5129</f>
        <v>4643.5128999999997</v>
      </c>
      <c r="D68" s="34">
        <f>4802.629</f>
        <v>4802.6289999999999</v>
      </c>
      <c r="E68" s="34">
        <v>4901.478859504311</v>
      </c>
      <c r="F68" s="96">
        <f t="shared" ref="F68:G78" si="3">(C68-D69)/C68</f>
        <v>4.8036993716545809E-2</v>
      </c>
      <c r="G68" s="96">
        <f t="shared" si="3"/>
        <v>5.7287993196198969E-2</v>
      </c>
      <c r="H68" s="96">
        <f t="shared" ref="H68:H106" si="4">(E68-E69)/E68</f>
        <v>7.6300000000000007E-2</v>
      </c>
    </row>
    <row r="69" spans="1:8" x14ac:dyDescent="0.35">
      <c r="A69" s="94">
        <v>82</v>
      </c>
      <c r="B69" s="95"/>
      <c r="C69" s="34">
        <f>4257.0056</f>
        <v>4257.0056000000004</v>
      </c>
      <c r="D69" s="34">
        <f>4420.4525</f>
        <v>4420.4525000000003</v>
      </c>
      <c r="E69" s="34">
        <v>4527.4960225241321</v>
      </c>
      <c r="F69" s="96">
        <f t="shared" si="3"/>
        <v>5.2586000826496587E-2</v>
      </c>
      <c r="G69" s="96">
        <f t="shared" si="3"/>
        <v>6.1708999540993965E-2</v>
      </c>
      <c r="H69" s="96">
        <f t="shared" si="4"/>
        <v>8.3893000000000079E-2</v>
      </c>
    </row>
    <row r="70" spans="1:8" x14ac:dyDescent="0.35">
      <c r="A70" s="94">
        <v>83</v>
      </c>
      <c r="B70" s="95"/>
      <c r="C70" s="34">
        <f>3866.9884</f>
        <v>3866.9884000000002</v>
      </c>
      <c r="D70" s="34">
        <f>4033.1467</f>
        <v>4033.1466999999998</v>
      </c>
      <c r="E70" s="34">
        <v>4147.6707987065147</v>
      </c>
      <c r="F70" s="96">
        <f t="shared" si="3"/>
        <v>5.7501000002999764E-2</v>
      </c>
      <c r="G70" s="96">
        <f t="shared" si="3"/>
        <v>6.6337009823603243E-2</v>
      </c>
      <c r="H70" s="96">
        <f t="shared" si="4"/>
        <v>9.2116999999999977E-2</v>
      </c>
    </row>
    <row r="71" spans="1:8" x14ac:dyDescent="0.35">
      <c r="A71" s="94">
        <v>84</v>
      </c>
      <c r="B71" s="95"/>
      <c r="C71" s="34">
        <f>3477.5929</f>
        <v>3477.5929000000001</v>
      </c>
      <c r="D71" s="34">
        <f>3644.6327</f>
        <v>3644.6327000000001</v>
      </c>
      <c r="E71" s="34">
        <v>3765.5998077420668</v>
      </c>
      <c r="F71" s="96">
        <f t="shared" si="3"/>
        <v>6.2803987206208056E-2</v>
      </c>
      <c r="G71" s="96">
        <f t="shared" si="3"/>
        <v>7.116899105869734E-2</v>
      </c>
      <c r="H71" s="96">
        <f t="shared" si="4"/>
        <v>0.10100699999999992</v>
      </c>
    </row>
    <row r="72" spans="1:8" x14ac:dyDescent="0.35">
      <c r="A72" s="94">
        <v>85</v>
      </c>
      <c r="B72" s="95"/>
      <c r="C72" s="34">
        <f>3093.2863</f>
        <v>3093.2863000000002</v>
      </c>
      <c r="D72" s="34">
        <f>3259.1862</f>
        <v>3259.1862000000001</v>
      </c>
      <c r="E72" s="34">
        <v>3385.2478679614642</v>
      </c>
      <c r="F72" s="96">
        <f t="shared" si="3"/>
        <v>6.8515998664591807E-2</v>
      </c>
      <c r="G72" s="96">
        <f t="shared" si="3"/>
        <v>7.6199005210280432E-2</v>
      </c>
      <c r="H72" s="96">
        <f t="shared" si="4"/>
        <v>0.11060000000000006</v>
      </c>
    </row>
    <row r="73" spans="1:8" x14ac:dyDescent="0.35">
      <c r="A73" s="94">
        <v>86</v>
      </c>
      <c r="B73" s="95"/>
      <c r="C73" s="34">
        <f>2718.7128</f>
        <v>2718.7127999999998</v>
      </c>
      <c r="D73" s="34">
        <f>2881.3467</f>
        <v>2881.3467000000001</v>
      </c>
      <c r="E73" s="34">
        <v>3010.839453764926</v>
      </c>
      <c r="F73" s="96">
        <f t="shared" si="3"/>
        <v>7.4660993982151994E-2</v>
      </c>
      <c r="G73" s="96">
        <f t="shared" si="3"/>
        <v>8.1422013719977815E-2</v>
      </c>
      <c r="H73" s="96">
        <f t="shared" si="4"/>
        <v>0.12092900000000001</v>
      </c>
    </row>
    <row r="74" spans="1:8" x14ac:dyDescent="0.35">
      <c r="A74" s="94">
        <v>87</v>
      </c>
      <c r="B74" s="95"/>
      <c r="C74" s="34">
        <f>2358.5299</f>
        <v>2358.5299</v>
      </c>
      <c r="D74" s="34">
        <f>2515.731</f>
        <v>2515.7310000000002</v>
      </c>
      <c r="E74" s="34">
        <v>2646.7416494605873</v>
      </c>
      <c r="F74" s="96">
        <f t="shared" si="3"/>
        <v>8.125799041173902E-2</v>
      </c>
      <c r="G74" s="96">
        <f t="shared" si="3"/>
        <v>8.6826992645237341E-2</v>
      </c>
      <c r="H74" s="96">
        <f t="shared" si="4"/>
        <v>0.13202800000000009</v>
      </c>
    </row>
    <row r="75" spans="1:8" x14ac:dyDescent="0.35">
      <c r="A75" s="94">
        <v>88</v>
      </c>
      <c r="B75" s="95"/>
      <c r="C75" s="34">
        <f>2017.2298</f>
        <v>2017.2298000000001</v>
      </c>
      <c r="D75" s="34">
        <f>2166.8805</f>
        <v>2166.8805000000002</v>
      </c>
      <c r="E75" s="34">
        <v>2297.2976429656046</v>
      </c>
      <c r="F75" s="96">
        <f t="shared" si="3"/>
        <v>8.8331036949781311E-2</v>
      </c>
      <c r="G75" s="96">
        <f t="shared" si="3"/>
        <v>9.2405007792904115E-2</v>
      </c>
      <c r="H75" s="96">
        <f t="shared" si="4"/>
        <v>0.14392899999999995</v>
      </c>
    </row>
    <row r="76" spans="1:8" x14ac:dyDescent="0.35">
      <c r="A76" s="94">
        <v>89</v>
      </c>
      <c r="B76" s="95"/>
      <c r="C76" s="34">
        <f>1698.9089</f>
        <v>1698.9088999999999</v>
      </c>
      <c r="D76" s="34">
        <f>1839.0458</f>
        <v>1839.0458000000001</v>
      </c>
      <c r="E76" s="34">
        <v>1966.6498905112082</v>
      </c>
      <c r="F76" s="96">
        <f t="shared" si="3"/>
        <v>9.5902022762962696E-2</v>
      </c>
      <c r="G76" s="96">
        <f t="shared" si="3"/>
        <v>9.8143983872657103E-2</v>
      </c>
      <c r="H76" s="96">
        <f t="shared" si="4"/>
        <v>0.15666000000000002</v>
      </c>
    </row>
    <row r="77" spans="1:8" x14ac:dyDescent="0.35">
      <c r="A77" s="94">
        <v>90</v>
      </c>
      <c r="B77" s="95"/>
      <c r="C77" s="34">
        <f>1407.055</f>
        <v>1407.0550000000001</v>
      </c>
      <c r="D77" s="34">
        <f>1535.9801</f>
        <v>1535.9801</v>
      </c>
      <c r="E77" s="34">
        <v>1658.5545186637223</v>
      </c>
      <c r="F77" s="96">
        <f t="shared" si="3"/>
        <v>0.10398996485567374</v>
      </c>
      <c r="G77" s="96">
        <f t="shared" si="3"/>
        <v>0.10403097831490159</v>
      </c>
      <c r="H77" s="96">
        <f t="shared" si="4"/>
        <v>0.17024699999999998</v>
      </c>
    </row>
    <row r="78" spans="1:8" x14ac:dyDescent="0.35">
      <c r="A78" s="94">
        <v>91</v>
      </c>
      <c r="B78" s="95"/>
      <c r="C78" s="34"/>
      <c r="D78" s="34">
        <f>1260.7354</f>
        <v>1260.7354</v>
      </c>
      <c r="E78" s="34">
        <v>1376.1905875247796</v>
      </c>
      <c r="F78" s="96"/>
      <c r="G78" s="96">
        <f t="shared" si="3"/>
        <v>0.11005202254118707</v>
      </c>
      <c r="H78" s="96">
        <f t="shared" si="4"/>
        <v>0.18471399999999996</v>
      </c>
    </row>
    <row r="79" spans="1:8" x14ac:dyDescent="0.35">
      <c r="A79" s="94">
        <v>92</v>
      </c>
      <c r="B79" s="95"/>
      <c r="C79" s="34"/>
      <c r="D79" s="34"/>
      <c r="E79" s="34">
        <v>1121.9889193407275</v>
      </c>
      <c r="F79" s="96"/>
      <c r="G79" s="96"/>
      <c r="H79" s="96">
        <f t="shared" si="4"/>
        <v>0.20007900000000001</v>
      </c>
    </row>
    <row r="80" spans="1:8" x14ac:dyDescent="0.35">
      <c r="A80" s="94">
        <v>93</v>
      </c>
      <c r="B80" s="95"/>
      <c r="C80" s="34"/>
      <c r="D80" s="34"/>
      <c r="E80" s="34">
        <v>897.50249834795409</v>
      </c>
      <c r="F80" s="96"/>
      <c r="G80" s="96"/>
      <c r="H80" s="96">
        <f t="shared" si="4"/>
        <v>0.21635399999999999</v>
      </c>
    </row>
    <row r="81" spans="1:8" x14ac:dyDescent="0.35">
      <c r="A81" s="94">
        <v>94</v>
      </c>
      <c r="B81" s="95"/>
      <c r="C81" s="34"/>
      <c r="D81" s="34"/>
      <c r="E81" s="34">
        <v>703.32424282038085</v>
      </c>
      <c r="F81" s="96"/>
      <c r="G81" s="96"/>
      <c r="H81" s="96">
        <f t="shared" si="4"/>
        <v>0.23354800000000003</v>
      </c>
    </row>
    <row r="82" spans="1:8" x14ac:dyDescent="0.35">
      <c r="A82" s="94">
        <v>95</v>
      </c>
      <c r="B82" s="95"/>
      <c r="C82" s="34"/>
      <c r="D82" s="34"/>
      <c r="E82" s="34">
        <v>539.06427255816652</v>
      </c>
      <c r="F82" s="96"/>
      <c r="G82" s="96"/>
      <c r="H82" s="96">
        <f t="shared" si="4"/>
        <v>0.25166200000000005</v>
      </c>
    </row>
    <row r="83" spans="1:8" x14ac:dyDescent="0.35">
      <c r="A83" s="94">
        <v>96</v>
      </c>
      <c r="B83" s="95"/>
      <c r="C83" s="34"/>
      <c r="D83" s="34"/>
      <c r="E83" s="34">
        <v>403.4022795976332</v>
      </c>
      <c r="F83" s="96"/>
      <c r="G83" s="96"/>
      <c r="H83" s="96">
        <f t="shared" si="4"/>
        <v>0.27068800000000004</v>
      </c>
    </row>
    <row r="84" spans="1:8" x14ac:dyDescent="0.35">
      <c r="A84" s="94">
        <v>97</v>
      </c>
      <c r="B84" s="95"/>
      <c r="C84" s="34"/>
      <c r="D84" s="34"/>
      <c r="E84" s="34">
        <v>294.20612333790905</v>
      </c>
      <c r="F84" s="96"/>
      <c r="G84" s="96"/>
      <c r="H84" s="96">
        <f t="shared" si="4"/>
        <v>0.29061299999999995</v>
      </c>
    </row>
    <row r="85" spans="1:8" x14ac:dyDescent="0.35">
      <c r="A85" s="94">
        <v>98</v>
      </c>
      <c r="B85" s="95"/>
      <c r="C85" s="34"/>
      <c r="D85" s="34"/>
      <c r="E85" s="34">
        <v>208.70599921630929</v>
      </c>
      <c r="F85" s="96"/>
      <c r="G85" s="96"/>
      <c r="H85" s="96">
        <f t="shared" si="4"/>
        <v>0.31141400000000008</v>
      </c>
    </row>
    <row r="86" spans="1:8" x14ac:dyDescent="0.35">
      <c r="A86" s="94">
        <v>99</v>
      </c>
      <c r="B86" s="95"/>
      <c r="C86" s="34"/>
      <c r="D86" s="34"/>
      <c r="E86" s="34">
        <v>143.71202917636154</v>
      </c>
      <c r="F86" s="96"/>
      <c r="G86" s="96"/>
      <c r="H86" s="96">
        <f t="shared" si="4"/>
        <v>0.33305800000000008</v>
      </c>
    </row>
    <row r="87" spans="1:8" x14ac:dyDescent="0.35">
      <c r="A87" s="94">
        <v>100</v>
      </c>
      <c r="B87" s="95"/>
      <c r="C87" s="34"/>
      <c r="D87" s="34"/>
      <c r="E87" s="34">
        <v>95.847588162940909</v>
      </c>
      <c r="F87" s="96"/>
      <c r="G87" s="96"/>
      <c r="H87" s="96">
        <f t="shared" si="4"/>
        <v>0.35550499999999996</v>
      </c>
    </row>
    <row r="88" spans="1:8" x14ac:dyDescent="0.35">
      <c r="A88" s="94">
        <v>101</v>
      </c>
      <c r="B88" s="95"/>
      <c r="C88" s="34"/>
      <c r="D88" s="34"/>
      <c r="E88" s="34">
        <v>61.773291333074603</v>
      </c>
      <c r="F88" s="96"/>
      <c r="G88" s="96"/>
      <c r="H88" s="96">
        <f t="shared" si="4"/>
        <v>0.37870200000000004</v>
      </c>
    </row>
    <row r="89" spans="1:8" x14ac:dyDescent="0.35">
      <c r="A89" s="94">
        <v>102</v>
      </c>
      <c r="B89" s="95"/>
      <c r="C89" s="34"/>
      <c r="D89" s="34"/>
      <c r="E89" s="34">
        <v>38.379622358656583</v>
      </c>
      <c r="F89" s="96"/>
      <c r="G89" s="96"/>
      <c r="H89" s="96">
        <f t="shared" si="4"/>
        <v>0.40258799999999989</v>
      </c>
    </row>
    <row r="90" spans="1:8" x14ac:dyDescent="0.35">
      <c r="A90" s="94">
        <v>103</v>
      </c>
      <c r="B90" s="95"/>
      <c r="C90" s="34"/>
      <c r="D90" s="34"/>
      <c r="E90" s="34">
        <v>22.92844695252975</v>
      </c>
      <c r="F90" s="96"/>
      <c r="G90" s="96"/>
      <c r="H90" s="96">
        <f t="shared" si="4"/>
        <v>0.42708999999999997</v>
      </c>
    </row>
    <row r="91" spans="1:8" x14ac:dyDescent="0.35">
      <c r="A91" s="94">
        <v>104</v>
      </c>
      <c r="B91" s="95"/>
      <c r="C91" s="34"/>
      <c r="D91" s="34"/>
      <c r="E91" s="34">
        <v>13.13593654357382</v>
      </c>
      <c r="F91" s="96"/>
      <c r="G91" s="96"/>
      <c r="H91" s="96">
        <f t="shared" si="4"/>
        <v>0.45212699999999995</v>
      </c>
    </row>
    <row r="92" spans="1:8" x14ac:dyDescent="0.35">
      <c r="A92" s="94">
        <v>105</v>
      </c>
      <c r="B92" s="95"/>
      <c r="C92" s="34"/>
      <c r="D92" s="34"/>
      <c r="E92" s="34">
        <v>7.1968249619374198</v>
      </c>
      <c r="F92" s="96"/>
      <c r="G92" s="96"/>
      <c r="H92" s="96">
        <f t="shared" si="4"/>
        <v>0.47760800000000003</v>
      </c>
    </row>
    <row r="93" spans="1:8" x14ac:dyDescent="0.35">
      <c r="A93" s="94">
        <v>106</v>
      </c>
      <c r="B93" s="95"/>
      <c r="C93" s="34"/>
      <c r="D93" s="34"/>
      <c r="E93" s="34">
        <v>3.7595637855164123</v>
      </c>
      <c r="F93" s="96"/>
      <c r="G93" s="96"/>
      <c r="H93" s="96">
        <f t="shared" si="4"/>
        <v>0.50343199999999999</v>
      </c>
    </row>
    <row r="94" spans="1:8" x14ac:dyDescent="0.35">
      <c r="A94" s="94">
        <v>107</v>
      </c>
      <c r="B94" s="95"/>
      <c r="C94" s="34"/>
      <c r="D94" s="34"/>
      <c r="E94" s="34">
        <v>1.8668790698463138</v>
      </c>
      <c r="F94" s="96"/>
      <c r="G94" s="96"/>
      <c r="H94" s="96">
        <f t="shared" si="4"/>
        <v>0.52949299999999999</v>
      </c>
    </row>
    <row r="95" spans="1:8" x14ac:dyDescent="0.35">
      <c r="A95" s="94">
        <v>108</v>
      </c>
      <c r="B95" s="95"/>
      <c r="C95" s="34"/>
      <c r="D95" s="34"/>
      <c r="E95" s="34">
        <v>0.8783796705161796</v>
      </c>
      <c r="F95" s="96"/>
      <c r="G95" s="96"/>
      <c r="H95" s="96">
        <f t="shared" si="4"/>
        <v>0.555674</v>
      </c>
    </row>
    <row r="96" spans="1:8" x14ac:dyDescent="0.35">
      <c r="A96" s="94">
        <v>109</v>
      </c>
      <c r="B96" s="95"/>
      <c r="C96" s="34"/>
      <c r="D96" s="34"/>
      <c r="E96" s="34">
        <v>0.39028692548177202</v>
      </c>
      <c r="F96" s="96"/>
      <c r="G96" s="96"/>
      <c r="H96" s="96">
        <f t="shared" si="4"/>
        <v>0.58185699999999996</v>
      </c>
    </row>
    <row r="97" spans="1:8" x14ac:dyDescent="0.35">
      <c r="A97" s="94">
        <v>110</v>
      </c>
      <c r="B97" s="95"/>
      <c r="C97" s="34"/>
      <c r="D97" s="34"/>
      <c r="E97" s="34">
        <v>0.16319574588172461</v>
      </c>
      <c r="F97" s="96"/>
      <c r="G97" s="96"/>
      <c r="H97" s="96">
        <f t="shared" si="4"/>
        <v>0.60791799999999996</v>
      </c>
    </row>
    <row r="98" spans="1:8" x14ac:dyDescent="0.35">
      <c r="A98" s="94">
        <v>111</v>
      </c>
      <c r="B98" s="95"/>
      <c r="C98" s="34"/>
      <c r="D98" s="34"/>
      <c r="E98" s="34">
        <v>6.3986114436798358E-2</v>
      </c>
      <c r="F98" s="96"/>
      <c r="G98" s="96"/>
      <c r="H98" s="96">
        <f t="shared" si="4"/>
        <v>0.63373100000000004</v>
      </c>
    </row>
    <row r="99" spans="1:8" x14ac:dyDescent="0.35">
      <c r="A99" s="94">
        <v>112</v>
      </c>
      <c r="B99" s="95"/>
      <c r="C99" s="34"/>
      <c r="D99" s="34"/>
      <c r="E99" s="34">
        <v>2.3436130148651695E-2</v>
      </c>
      <c r="F99" s="96"/>
      <c r="G99" s="96"/>
      <c r="H99" s="96">
        <f t="shared" si="4"/>
        <v>0.65917099999999995</v>
      </c>
    </row>
    <row r="100" spans="1:8" x14ac:dyDescent="0.35">
      <c r="A100" s="94">
        <v>113</v>
      </c>
      <c r="B100" s="95"/>
      <c r="C100" s="34"/>
      <c r="D100" s="34"/>
      <c r="E100" s="34">
        <v>7.9877128024348088E-3</v>
      </c>
      <c r="F100" s="96"/>
      <c r="G100" s="96"/>
      <c r="H100" s="96">
        <f t="shared" si="4"/>
        <v>0.684114</v>
      </c>
    </row>
    <row r="101" spans="1:8" x14ac:dyDescent="0.35">
      <c r="A101" s="94">
        <v>114</v>
      </c>
      <c r="B101" s="95"/>
      <c r="C101" s="34"/>
      <c r="D101" s="34"/>
      <c r="E101" s="34">
        <v>2.5232066463099219E-3</v>
      </c>
      <c r="F101" s="96"/>
      <c r="G101" s="96"/>
      <c r="H101" s="96">
        <f t="shared" si="4"/>
        <v>0.70844200000000002</v>
      </c>
    </row>
    <row r="102" spans="1:8" x14ac:dyDescent="0.35">
      <c r="A102" s="94">
        <v>115</v>
      </c>
      <c r="B102" s="95"/>
      <c r="C102" s="34"/>
      <c r="D102" s="34"/>
      <c r="E102" s="34">
        <v>7.3566108338482821E-4</v>
      </c>
      <c r="F102" s="96"/>
      <c r="G102" s="96"/>
      <c r="H102" s="96">
        <f t="shared" si="4"/>
        <v>0.73204199999999997</v>
      </c>
    </row>
    <row r="103" spans="1:8" x14ac:dyDescent="0.35">
      <c r="A103" s="94">
        <v>116</v>
      </c>
      <c r="B103" s="95"/>
      <c r="C103" s="34"/>
      <c r="D103" s="34"/>
      <c r="E103" s="34">
        <v>1.9712627258163182E-4</v>
      </c>
      <c r="F103" s="96"/>
      <c r="G103" s="96"/>
      <c r="H103" s="96">
        <f t="shared" si="4"/>
        <v>0.75480899999999995</v>
      </c>
    </row>
    <row r="104" spans="1:8" x14ac:dyDescent="0.35">
      <c r="A104" s="94">
        <v>117</v>
      </c>
      <c r="B104" s="95"/>
      <c r="C104" s="34"/>
      <c r="D104" s="34"/>
      <c r="E104" s="34">
        <v>4.8333587900562901E-5</v>
      </c>
      <c r="F104" s="96"/>
      <c r="G104" s="96"/>
      <c r="H104" s="96">
        <f t="shared" si="4"/>
        <v>0.77664800000000001</v>
      </c>
    </row>
    <row r="105" spans="1:8" x14ac:dyDescent="0.35">
      <c r="A105" s="94">
        <v>118</v>
      </c>
      <c r="B105" s="95"/>
      <c r="C105" s="34"/>
      <c r="D105" s="34"/>
      <c r="E105" s="34">
        <v>1.0795403524766525E-5</v>
      </c>
      <c r="F105" s="96"/>
      <c r="G105" s="96"/>
      <c r="H105" s="96">
        <f t="shared" si="4"/>
        <v>0.79747699999999999</v>
      </c>
    </row>
    <row r="106" spans="1:8" x14ac:dyDescent="0.35">
      <c r="A106" s="94">
        <v>119</v>
      </c>
      <c r="B106" s="95"/>
      <c r="C106" s="34"/>
      <c r="D106" s="34"/>
      <c r="E106" s="34">
        <v>2.1863175080462909E-6</v>
      </c>
      <c r="F106" s="96"/>
      <c r="G106" s="96"/>
      <c r="H106" s="96">
        <f t="shared" si="4"/>
        <v>0.81722500000000009</v>
      </c>
    </row>
    <row r="107" spans="1:8" x14ac:dyDescent="0.35">
      <c r="A107" s="94">
        <v>120</v>
      </c>
      <c r="B107" s="95"/>
      <c r="C107" s="34"/>
      <c r="D107" s="34"/>
      <c r="E107" s="34">
        <v>3.9960418253316085E-7</v>
      </c>
      <c r="F107" s="96"/>
      <c r="G107" s="96"/>
      <c r="H107" s="96">
        <f>(E107-'Q2 Inputs'!F131)/E107</f>
        <v>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4"/>
  <sheetViews>
    <sheetView workbookViewId="0">
      <selection activeCell="A4" sqref="A4"/>
    </sheetView>
  </sheetViews>
  <sheetFormatPr defaultColWidth="11.81640625" defaultRowHeight="14.5" x14ac:dyDescent="0.35"/>
  <cols>
    <col min="4" max="4" width="14" customWidth="1"/>
    <col min="6" max="6" width="13.81640625" customWidth="1"/>
  </cols>
  <sheetData>
    <row r="1" spans="1:8" s="28" customFormat="1" ht="21" x14ac:dyDescent="0.5">
      <c r="A1" s="23" t="s">
        <v>31</v>
      </c>
    </row>
    <row r="2" spans="1:8" x14ac:dyDescent="0.35">
      <c r="B2" s="7"/>
      <c r="C2" s="7"/>
      <c r="D2" s="7"/>
      <c r="E2" s="7"/>
      <c r="F2" s="7"/>
      <c r="G2" s="7"/>
    </row>
    <row r="3" spans="1:8" x14ac:dyDescent="0.35">
      <c r="B3" s="7"/>
      <c r="C3" s="7"/>
      <c r="D3" s="7"/>
      <c r="E3" s="7"/>
      <c r="F3" s="7"/>
      <c r="G3" s="7"/>
      <c r="H3" s="76"/>
    </row>
    <row r="4" spans="1:8" x14ac:dyDescent="0.35">
      <c r="A4" s="38" t="s">
        <v>98</v>
      </c>
      <c r="B4" s="97"/>
      <c r="C4" s="98"/>
      <c r="D4" s="99">
        <v>0.45</v>
      </c>
      <c r="E4" s="7" t="s">
        <v>99</v>
      </c>
      <c r="F4" s="7"/>
      <c r="G4" s="7"/>
      <c r="H4" s="100"/>
    </row>
    <row r="5" spans="1:8" x14ac:dyDescent="0.35">
      <c r="A5" s="38" t="s">
        <v>100</v>
      </c>
      <c r="B5" s="97"/>
      <c r="C5" s="98"/>
      <c r="D5" s="99">
        <v>0.05</v>
      </c>
      <c r="E5" s="7" t="s">
        <v>101</v>
      </c>
      <c r="F5" s="7"/>
      <c r="G5" s="7"/>
    </row>
    <row r="6" spans="1:8" x14ac:dyDescent="0.35">
      <c r="A6" s="38" t="s">
        <v>102</v>
      </c>
      <c r="B6" s="97"/>
      <c r="C6" s="98"/>
      <c r="D6" s="101">
        <v>50000</v>
      </c>
      <c r="E6" s="7" t="s">
        <v>103</v>
      </c>
      <c r="F6" s="7"/>
      <c r="G6" s="7"/>
    </row>
    <row r="7" spans="1:8" x14ac:dyDescent="0.35">
      <c r="A7" s="102" t="s">
        <v>104</v>
      </c>
      <c r="B7" s="103"/>
      <c r="C7" s="104"/>
      <c r="D7" s="101">
        <v>1950</v>
      </c>
      <c r="E7" s="7" t="s">
        <v>105</v>
      </c>
      <c r="F7" s="7"/>
      <c r="G7" s="7"/>
    </row>
    <row r="8" spans="1:8" x14ac:dyDescent="0.35">
      <c r="B8" s="105"/>
      <c r="C8" s="106"/>
      <c r="D8" s="7"/>
      <c r="E8" s="7"/>
      <c r="F8" s="7"/>
      <c r="G8" s="7"/>
    </row>
    <row r="9" spans="1:8" x14ac:dyDescent="0.35">
      <c r="C9" s="7"/>
      <c r="D9" s="45" t="s">
        <v>61</v>
      </c>
      <c r="E9" s="98"/>
      <c r="F9" s="45" t="s">
        <v>58</v>
      </c>
      <c r="G9" s="107"/>
    </row>
    <row r="10" spans="1:8" x14ac:dyDescent="0.35">
      <c r="A10" s="108" t="s">
        <v>106</v>
      </c>
      <c r="B10" s="97"/>
      <c r="C10" s="107"/>
      <c r="D10" s="99">
        <v>0.03</v>
      </c>
      <c r="E10" s="109" t="s">
        <v>107</v>
      </c>
      <c r="F10" s="99">
        <v>0.04</v>
      </c>
      <c r="G10" s="7" t="s">
        <v>108</v>
      </c>
    </row>
    <row r="11" spans="1:8" x14ac:dyDescent="0.35">
      <c r="A11" s="108" t="s">
        <v>109</v>
      </c>
      <c r="B11" s="97"/>
      <c r="C11" s="107"/>
      <c r="D11" s="99">
        <v>1.4999999999999999E-2</v>
      </c>
      <c r="E11" s="109" t="s">
        <v>110</v>
      </c>
      <c r="F11" s="99">
        <v>0.02</v>
      </c>
      <c r="G11" s="7" t="s">
        <v>111</v>
      </c>
      <c r="H11" s="7"/>
    </row>
    <row r="12" spans="1:8" x14ac:dyDescent="0.35">
      <c r="A12" s="108" t="s">
        <v>42</v>
      </c>
      <c r="B12" s="97"/>
      <c r="C12" s="107"/>
      <c r="D12" s="101">
        <v>1000</v>
      </c>
      <c r="E12" s="110" t="s">
        <v>112</v>
      </c>
      <c r="F12" s="101">
        <v>1000</v>
      </c>
      <c r="G12" s="7" t="s">
        <v>113</v>
      </c>
      <c r="H12" s="7"/>
    </row>
    <row r="13" spans="1:8" x14ac:dyDescent="0.35">
      <c r="A13" s="108" t="s">
        <v>114</v>
      </c>
      <c r="B13" s="97"/>
      <c r="C13" s="111"/>
      <c r="D13" s="112">
        <v>50</v>
      </c>
      <c r="E13" s="109" t="s">
        <v>115</v>
      </c>
      <c r="F13" s="112">
        <v>50</v>
      </c>
      <c r="G13" s="106" t="s">
        <v>116</v>
      </c>
      <c r="H13" s="7"/>
    </row>
    <row r="14" spans="1:8" x14ac:dyDescent="0.35">
      <c r="A14" s="108" t="s">
        <v>117</v>
      </c>
      <c r="B14" s="97"/>
      <c r="C14" s="111"/>
      <c r="D14" s="99">
        <v>0.03</v>
      </c>
      <c r="E14" s="109" t="s">
        <v>118</v>
      </c>
      <c r="F14" s="99">
        <v>0.02</v>
      </c>
      <c r="G14" s="106" t="s">
        <v>119</v>
      </c>
      <c r="H14" s="7"/>
    </row>
    <row r="15" spans="1:8" x14ac:dyDescent="0.35">
      <c r="A15" s="108" t="s">
        <v>68</v>
      </c>
      <c r="B15" s="97"/>
      <c r="C15" s="111"/>
      <c r="D15" s="113" t="s">
        <v>120</v>
      </c>
      <c r="E15" s="114"/>
      <c r="F15" s="113" t="s">
        <v>120</v>
      </c>
      <c r="G15" s="106"/>
      <c r="H15" s="7"/>
    </row>
    <row r="16" spans="1:8" x14ac:dyDescent="0.35">
      <c r="A16" s="108" t="s">
        <v>121</v>
      </c>
      <c r="B16" s="97"/>
      <c r="C16" s="107"/>
      <c r="D16" s="99">
        <v>1</v>
      </c>
      <c r="E16" s="109" t="s">
        <v>122</v>
      </c>
      <c r="F16" s="99">
        <v>0.8</v>
      </c>
      <c r="G16" s="7" t="s">
        <v>123</v>
      </c>
      <c r="H16" s="7"/>
    </row>
    <row r="17" spans="1:9" x14ac:dyDescent="0.35">
      <c r="B17" s="106"/>
      <c r="C17" s="7"/>
      <c r="D17" s="7"/>
      <c r="E17" s="7"/>
      <c r="F17" s="106"/>
      <c r="G17" s="7"/>
      <c r="H17" s="7"/>
    </row>
    <row r="18" spans="1:9" x14ac:dyDescent="0.35">
      <c r="A18" s="7"/>
      <c r="B18" s="7"/>
      <c r="C18" s="7"/>
      <c r="D18" s="7"/>
      <c r="E18" s="7"/>
      <c r="F18" s="7"/>
      <c r="G18" s="7"/>
      <c r="H18" s="7"/>
      <c r="I18" s="7"/>
    </row>
    <row r="19" spans="1:9" x14ac:dyDescent="0.35">
      <c r="A19" s="7"/>
      <c r="B19" s="7"/>
      <c r="C19" s="7"/>
      <c r="D19" s="7"/>
      <c r="E19" s="7"/>
      <c r="F19" s="7"/>
      <c r="G19" s="7"/>
      <c r="H19" s="7"/>
      <c r="I19" s="7"/>
    </row>
    <row r="20" spans="1:9" x14ac:dyDescent="0.35">
      <c r="A20" s="7"/>
      <c r="B20" s="7"/>
      <c r="C20" s="7"/>
      <c r="D20" s="7"/>
      <c r="E20" s="7"/>
      <c r="F20" s="7"/>
      <c r="G20" s="7"/>
      <c r="H20" s="7"/>
      <c r="I20" s="7"/>
    </row>
    <row r="21" spans="1:9" x14ac:dyDescent="0.35">
      <c r="A21" s="7"/>
      <c r="B21" s="7"/>
      <c r="C21" s="7"/>
      <c r="D21" s="7"/>
      <c r="E21" s="7"/>
      <c r="F21" s="7"/>
      <c r="G21" s="7"/>
      <c r="H21" s="7"/>
      <c r="I21" s="7"/>
    </row>
    <row r="22" spans="1:9" x14ac:dyDescent="0.35">
      <c r="B22" s="7"/>
      <c r="C22" s="7"/>
      <c r="D22" s="115"/>
      <c r="E22" s="7"/>
      <c r="F22" s="7"/>
      <c r="G22" s="7"/>
    </row>
    <row r="23" spans="1:9" x14ac:dyDescent="0.35">
      <c r="B23" s="7"/>
      <c r="C23" s="7"/>
      <c r="D23" s="7"/>
      <c r="E23" s="7"/>
      <c r="F23" s="106"/>
      <c r="G23" s="7"/>
    </row>
    <row r="24" spans="1:9" x14ac:dyDescent="0.35">
      <c r="B24" s="7"/>
      <c r="C24" s="7"/>
      <c r="D24" s="7"/>
      <c r="E24" s="7"/>
      <c r="F24" s="7"/>
      <c r="G24" s="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9"/>
  <sheetViews>
    <sheetView workbookViewId="0">
      <selection activeCell="A4" sqref="A4"/>
    </sheetView>
  </sheetViews>
  <sheetFormatPr defaultColWidth="12.54296875" defaultRowHeight="14.5" x14ac:dyDescent="0.35"/>
  <cols>
    <col min="6" max="6" width="1.453125" customWidth="1"/>
  </cols>
  <sheetData>
    <row r="1" spans="1:13" s="28" customFormat="1" ht="21" x14ac:dyDescent="0.5">
      <c r="A1" s="23" t="s">
        <v>124</v>
      </c>
    </row>
    <row r="2" spans="1:13" x14ac:dyDescent="0.35">
      <c r="B2" s="116" t="s">
        <v>125</v>
      </c>
      <c r="C2" s="117"/>
      <c r="G2" s="116" t="s">
        <v>126</v>
      </c>
      <c r="H2" s="118"/>
      <c r="I2" s="117"/>
      <c r="J2" s="119"/>
    </row>
    <row r="3" spans="1:13" x14ac:dyDescent="0.35">
      <c r="A3" s="59"/>
      <c r="B3" s="59"/>
      <c r="C3" s="59" t="s">
        <v>127</v>
      </c>
      <c r="D3" s="59" t="s">
        <v>128</v>
      </c>
      <c r="E3" s="59" t="s">
        <v>128</v>
      </c>
      <c r="F3" s="64"/>
      <c r="G3" s="59" t="s">
        <v>129</v>
      </c>
      <c r="H3" s="59"/>
      <c r="I3" s="59"/>
      <c r="J3" s="120" t="s">
        <v>68</v>
      </c>
      <c r="K3" s="59" t="s">
        <v>130</v>
      </c>
      <c r="L3" s="59" t="s">
        <v>78</v>
      </c>
      <c r="M3" s="59" t="s">
        <v>131</v>
      </c>
    </row>
    <row r="4" spans="1:13" x14ac:dyDescent="0.35">
      <c r="A4" s="62" t="s">
        <v>67</v>
      </c>
      <c r="B4" s="62" t="s">
        <v>72</v>
      </c>
      <c r="C4" s="62" t="s">
        <v>132</v>
      </c>
      <c r="D4" s="62" t="s">
        <v>133</v>
      </c>
      <c r="E4" s="62" t="s">
        <v>134</v>
      </c>
      <c r="F4" s="62"/>
      <c r="G4" s="62" t="s">
        <v>135</v>
      </c>
      <c r="H4" s="62" t="s">
        <v>73</v>
      </c>
      <c r="I4" s="62" t="s">
        <v>75</v>
      </c>
      <c r="J4" s="121" t="s">
        <v>84</v>
      </c>
      <c r="K4" s="62" t="s">
        <v>136</v>
      </c>
      <c r="L4" s="62" t="s">
        <v>137</v>
      </c>
      <c r="M4" s="62" t="s">
        <v>91</v>
      </c>
    </row>
    <row r="5" spans="1:13" x14ac:dyDescent="0.35">
      <c r="A5" s="57">
        <v>1</v>
      </c>
      <c r="B5" s="122">
        <f t="shared" ref="B5:B29" si="0">P</f>
        <v>1950</v>
      </c>
      <c r="C5" s="122">
        <f>B5*A*(1-BO)</f>
        <v>833.625</v>
      </c>
      <c r="D5" s="122">
        <f>C5</f>
        <v>833.625</v>
      </c>
      <c r="E5" s="122">
        <f t="shared" ref="E5:E29" si="1">D5*(1+ResUG)</f>
        <v>858.63375000000008</v>
      </c>
      <c r="F5" s="123"/>
      <c r="G5" s="122">
        <f t="shared" ref="G5:G29" si="2">B5-C5</f>
        <v>1116.375</v>
      </c>
      <c r="H5" s="122">
        <f>-ResIE</f>
        <v>-1000</v>
      </c>
      <c r="I5" s="122">
        <f t="shared" ref="I5:I29" si="3">(G5+H5)*ResINT</f>
        <v>1.745625</v>
      </c>
      <c r="J5" s="124">
        <f>'Q2 Mortality table'!H27</f>
        <v>9.3699999999987576E-4</v>
      </c>
      <c r="K5" s="122">
        <f t="shared" ref="K5:K29" si="4">MAX(D-E5,0)</f>
        <v>49141.366249999999</v>
      </c>
      <c r="L5" s="122">
        <f>-J5*K5</f>
        <v>-46.045460176243893</v>
      </c>
      <c r="M5" s="122">
        <f>G5+H5+I5+L5</f>
        <v>72.075164823756111</v>
      </c>
    </row>
    <row r="6" spans="1:13" x14ac:dyDescent="0.35">
      <c r="A6" s="57">
        <v>2</v>
      </c>
      <c r="B6" s="122">
        <f t="shared" si="0"/>
        <v>1950</v>
      </c>
      <c r="C6" s="122">
        <f t="shared" ref="C6:C29" si="5">B6*(1-BO)</f>
        <v>1852.5</v>
      </c>
      <c r="D6" s="122">
        <f t="shared" ref="D6:D29" si="6">C6+E5</f>
        <v>2711.13375</v>
      </c>
      <c r="E6" s="122">
        <f t="shared" si="1"/>
        <v>2792.4677624999999</v>
      </c>
      <c r="F6" s="123"/>
      <c r="G6" s="122">
        <f t="shared" si="2"/>
        <v>97.5</v>
      </c>
      <c r="H6" s="122">
        <f t="shared" ref="H6:H29" si="7">-ResRE*(1+ResINF)^A5</f>
        <v>-51.5</v>
      </c>
      <c r="I6" s="122">
        <f t="shared" si="3"/>
        <v>0.69</v>
      </c>
      <c r="J6" s="124">
        <f>'Q2 Mortality table'!H28</f>
        <v>1.0139999999998718E-3</v>
      </c>
      <c r="K6" s="122">
        <f t="shared" si="4"/>
        <v>47207.532237500003</v>
      </c>
      <c r="L6" s="122">
        <f t="shared" ref="L6:L29" si="8">-J6*K6</f>
        <v>-47.86843768881895</v>
      </c>
      <c r="M6" s="122">
        <f t="shared" ref="M6:M29" si="9">G6+H6+I6+L6</f>
        <v>-1.1784376888189527</v>
      </c>
    </row>
    <row r="7" spans="1:13" x14ac:dyDescent="0.35">
      <c r="A7" s="57">
        <v>3</v>
      </c>
      <c r="B7" s="122">
        <f t="shared" si="0"/>
        <v>1950</v>
      </c>
      <c r="C7" s="122">
        <f t="shared" si="5"/>
        <v>1852.5</v>
      </c>
      <c r="D7" s="122">
        <f t="shared" si="6"/>
        <v>4644.9677625000004</v>
      </c>
      <c r="E7" s="122">
        <f t="shared" si="1"/>
        <v>4784.3167953750008</v>
      </c>
      <c r="F7" s="123"/>
      <c r="G7" s="122">
        <f t="shared" si="2"/>
        <v>97.5</v>
      </c>
      <c r="H7" s="122">
        <f t="shared" si="7"/>
        <v>-53.044999999999995</v>
      </c>
      <c r="I7" s="122">
        <f t="shared" si="3"/>
        <v>0.666825</v>
      </c>
      <c r="J7" s="124">
        <f>'Q2 Mortality table'!H29</f>
        <v>1.1040000000000186E-3</v>
      </c>
      <c r="K7" s="122">
        <f t="shared" si="4"/>
        <v>45215.683204624998</v>
      </c>
      <c r="L7" s="122">
        <f t="shared" si="8"/>
        <v>-49.918114257906836</v>
      </c>
      <c r="M7" s="122">
        <f t="shared" si="9"/>
        <v>-4.7962892579068281</v>
      </c>
    </row>
    <row r="8" spans="1:13" x14ac:dyDescent="0.35">
      <c r="A8" s="57">
        <v>4</v>
      </c>
      <c r="B8" s="122">
        <f t="shared" si="0"/>
        <v>1950</v>
      </c>
      <c r="C8" s="122">
        <f t="shared" si="5"/>
        <v>1852.5</v>
      </c>
      <c r="D8" s="122">
        <f t="shared" si="6"/>
        <v>6636.8167953750008</v>
      </c>
      <c r="E8" s="122">
        <f t="shared" si="1"/>
        <v>6835.9212992362509</v>
      </c>
      <c r="F8" s="123"/>
      <c r="G8" s="122">
        <f t="shared" si="2"/>
        <v>97.5</v>
      </c>
      <c r="H8" s="122">
        <f t="shared" si="7"/>
        <v>-54.63635</v>
      </c>
      <c r="I8" s="122">
        <f t="shared" si="3"/>
        <v>0.64295475000000002</v>
      </c>
      <c r="J8" s="124">
        <f>'Q2 Mortality table'!H30</f>
        <v>1.2079999999999012E-3</v>
      </c>
      <c r="K8" s="122">
        <f t="shared" si="4"/>
        <v>43164.078700763748</v>
      </c>
      <c r="L8" s="122">
        <f t="shared" si="8"/>
        <v>-52.142207070518346</v>
      </c>
      <c r="M8" s="122">
        <f t="shared" si="9"/>
        <v>-8.6356023205183448</v>
      </c>
    </row>
    <row r="9" spans="1:13" x14ac:dyDescent="0.35">
      <c r="A9" s="57">
        <v>5</v>
      </c>
      <c r="B9" s="122">
        <f t="shared" si="0"/>
        <v>1950</v>
      </c>
      <c r="C9" s="122">
        <f t="shared" si="5"/>
        <v>1852.5</v>
      </c>
      <c r="D9" s="122">
        <f t="shared" si="6"/>
        <v>8688.4212992362518</v>
      </c>
      <c r="E9" s="122">
        <f t="shared" si="1"/>
        <v>8949.0739382133397</v>
      </c>
      <c r="F9" s="123"/>
      <c r="G9" s="122">
        <f t="shared" si="2"/>
        <v>97.5</v>
      </c>
      <c r="H9" s="122">
        <f t="shared" si="7"/>
        <v>-56.275440499999995</v>
      </c>
      <c r="I9" s="122">
        <f t="shared" si="3"/>
        <v>0.61836839250000009</v>
      </c>
      <c r="J9" s="124">
        <f>'Q2 Mortality table'!H31</f>
        <v>1.3270000000000194E-3</v>
      </c>
      <c r="K9" s="122">
        <f t="shared" si="4"/>
        <v>41050.92606178666</v>
      </c>
      <c r="L9" s="122">
        <f t="shared" si="8"/>
        <v>-54.47457888399169</v>
      </c>
      <c r="M9" s="122">
        <f t="shared" si="9"/>
        <v>-12.631650991491682</v>
      </c>
    </row>
    <row r="10" spans="1:13" x14ac:dyDescent="0.35">
      <c r="A10" s="57">
        <v>6</v>
      </c>
      <c r="B10" s="122">
        <f t="shared" si="0"/>
        <v>1950</v>
      </c>
      <c r="C10" s="122">
        <f t="shared" si="5"/>
        <v>1852.5</v>
      </c>
      <c r="D10" s="122">
        <f t="shared" si="6"/>
        <v>10801.57393821334</v>
      </c>
      <c r="E10" s="122">
        <f t="shared" si="1"/>
        <v>11125.621156359741</v>
      </c>
      <c r="F10" s="123"/>
      <c r="G10" s="122">
        <f t="shared" si="2"/>
        <v>97.5</v>
      </c>
      <c r="H10" s="122">
        <f t="shared" si="7"/>
        <v>-57.963703714999994</v>
      </c>
      <c r="I10" s="122">
        <f t="shared" si="3"/>
        <v>0.59304444427500003</v>
      </c>
      <c r="J10" s="124">
        <f>'Q2 Mortality table'!H32</f>
        <v>1.4649999999999626E-3</v>
      </c>
      <c r="K10" s="122">
        <f t="shared" si="4"/>
        <v>38874.378843640261</v>
      </c>
      <c r="L10" s="122">
        <f t="shared" si="8"/>
        <v>-56.950965005931529</v>
      </c>
      <c r="M10" s="122">
        <f t="shared" si="9"/>
        <v>-16.821624276656522</v>
      </c>
    </row>
    <row r="11" spans="1:13" x14ac:dyDescent="0.35">
      <c r="A11" s="57">
        <v>7</v>
      </c>
      <c r="B11" s="122">
        <f t="shared" si="0"/>
        <v>1950</v>
      </c>
      <c r="C11" s="122">
        <f t="shared" si="5"/>
        <v>1852.5</v>
      </c>
      <c r="D11" s="122">
        <f t="shared" si="6"/>
        <v>12978.121156359741</v>
      </c>
      <c r="E11" s="122">
        <f t="shared" si="1"/>
        <v>13367.464791050534</v>
      </c>
      <c r="F11" s="123"/>
      <c r="G11" s="122">
        <f t="shared" si="2"/>
        <v>97.5</v>
      </c>
      <c r="H11" s="122">
        <f t="shared" si="7"/>
        <v>-59.702614826449995</v>
      </c>
      <c r="I11" s="122">
        <f t="shared" si="3"/>
        <v>0.56696077760325003</v>
      </c>
      <c r="J11" s="124">
        <f>'Q2 Mortality table'!H33</f>
        <v>1.6220000000000613E-3</v>
      </c>
      <c r="K11" s="122">
        <f t="shared" si="4"/>
        <v>36632.53520894947</v>
      </c>
      <c r="L11" s="122">
        <f t="shared" si="8"/>
        <v>-59.417972108918285</v>
      </c>
      <c r="M11" s="122">
        <f t="shared" si="9"/>
        <v>-21.053626157765031</v>
      </c>
    </row>
    <row r="12" spans="1:13" x14ac:dyDescent="0.35">
      <c r="A12" s="57">
        <v>8</v>
      </c>
      <c r="B12" s="122">
        <f t="shared" si="0"/>
        <v>1950</v>
      </c>
      <c r="C12" s="122">
        <f t="shared" si="5"/>
        <v>1852.5</v>
      </c>
      <c r="D12" s="122">
        <f t="shared" si="6"/>
        <v>15219.964791050534</v>
      </c>
      <c r="E12" s="122">
        <f t="shared" si="1"/>
        <v>15676.56373478205</v>
      </c>
      <c r="F12" s="123"/>
      <c r="G12" s="122">
        <f t="shared" si="2"/>
        <v>97.5</v>
      </c>
      <c r="H12" s="122">
        <f t="shared" si="7"/>
        <v>-61.493693271243501</v>
      </c>
      <c r="I12" s="122">
        <f t="shared" si="3"/>
        <v>0.54009460093134742</v>
      </c>
      <c r="J12" s="124">
        <f>'Q2 Mortality table'!H34</f>
        <v>1.8019999999999542E-3</v>
      </c>
      <c r="K12" s="122">
        <f t="shared" si="4"/>
        <v>34323.436265217948</v>
      </c>
      <c r="L12" s="122">
        <f t="shared" si="8"/>
        <v>-61.850832149921175</v>
      </c>
      <c r="M12" s="122">
        <f t="shared" si="9"/>
        <v>-25.304430820233328</v>
      </c>
    </row>
    <row r="13" spans="1:13" x14ac:dyDescent="0.35">
      <c r="A13" s="57">
        <v>9</v>
      </c>
      <c r="B13" s="122">
        <f t="shared" si="0"/>
        <v>1950</v>
      </c>
      <c r="C13" s="122">
        <f t="shared" si="5"/>
        <v>1852.5</v>
      </c>
      <c r="D13" s="122">
        <f t="shared" si="6"/>
        <v>17529.063734782052</v>
      </c>
      <c r="E13" s="122">
        <f t="shared" si="1"/>
        <v>18054.935646825514</v>
      </c>
      <c r="F13" s="123"/>
      <c r="G13" s="122">
        <f t="shared" si="2"/>
        <v>97.5</v>
      </c>
      <c r="H13" s="122">
        <f t="shared" si="7"/>
        <v>-63.338504069380797</v>
      </c>
      <c r="I13" s="122">
        <f t="shared" si="3"/>
        <v>0.51242243895928807</v>
      </c>
      <c r="J13" s="124">
        <f>'Q2 Mortality table'!H35</f>
        <v>2.0079999999999599E-3</v>
      </c>
      <c r="K13" s="122">
        <f t="shared" si="4"/>
        <v>31945.064353174486</v>
      </c>
      <c r="L13" s="122">
        <f t="shared" si="8"/>
        <v>-64.145689221173086</v>
      </c>
      <c r="M13" s="122">
        <f t="shared" si="9"/>
        <v>-29.471770851594592</v>
      </c>
    </row>
    <row r="14" spans="1:13" x14ac:dyDescent="0.35">
      <c r="A14" s="57">
        <v>10</v>
      </c>
      <c r="B14" s="122">
        <f t="shared" si="0"/>
        <v>1950</v>
      </c>
      <c r="C14" s="122">
        <f t="shared" si="5"/>
        <v>1852.5</v>
      </c>
      <c r="D14" s="122">
        <f t="shared" si="6"/>
        <v>19907.435646825514</v>
      </c>
      <c r="E14" s="122">
        <f t="shared" si="1"/>
        <v>20504.658716230279</v>
      </c>
      <c r="F14" s="123"/>
      <c r="G14" s="122">
        <f t="shared" si="2"/>
        <v>97.5</v>
      </c>
      <c r="H14" s="122">
        <f t="shared" si="7"/>
        <v>-65.238659191462219</v>
      </c>
      <c r="I14" s="122">
        <f t="shared" si="3"/>
        <v>0.48392011212806668</v>
      </c>
      <c r="J14" s="124">
        <f>'Q2 Mortality table'!H36</f>
        <v>2.2410000000001075E-3</v>
      </c>
      <c r="K14" s="122">
        <f t="shared" si="4"/>
        <v>29495.341283769721</v>
      </c>
      <c r="L14" s="122">
        <f t="shared" si="8"/>
        <v>-66.099059816931117</v>
      </c>
      <c r="M14" s="122">
        <f t="shared" si="9"/>
        <v>-33.353798896265268</v>
      </c>
    </row>
    <row r="15" spans="1:13" x14ac:dyDescent="0.35">
      <c r="A15" s="57">
        <v>11</v>
      </c>
      <c r="B15" s="122">
        <f t="shared" si="0"/>
        <v>1950</v>
      </c>
      <c r="C15" s="122">
        <f t="shared" si="5"/>
        <v>1852.5</v>
      </c>
      <c r="D15" s="122">
        <f t="shared" si="6"/>
        <v>22357.158716230279</v>
      </c>
      <c r="E15" s="122">
        <f t="shared" si="1"/>
        <v>23027.873477717189</v>
      </c>
      <c r="F15" s="123"/>
      <c r="G15" s="122">
        <f t="shared" si="2"/>
        <v>97.5</v>
      </c>
      <c r="H15" s="122">
        <f t="shared" si="7"/>
        <v>-67.195818967206094</v>
      </c>
      <c r="I15" s="122">
        <f t="shared" si="3"/>
        <v>0.45456271549190858</v>
      </c>
      <c r="J15" s="124">
        <f>'Q2 Mortality table'!H37</f>
        <v>2.5079999999998615E-3</v>
      </c>
      <c r="K15" s="122">
        <f t="shared" si="4"/>
        <v>26972.126522282811</v>
      </c>
      <c r="L15" s="122">
        <f t="shared" si="8"/>
        <v>-67.646093317881551</v>
      </c>
      <c r="M15" s="122">
        <f t="shared" si="9"/>
        <v>-36.887349569595735</v>
      </c>
    </row>
    <row r="16" spans="1:13" x14ac:dyDescent="0.35">
      <c r="A16" s="57">
        <v>12</v>
      </c>
      <c r="B16" s="122">
        <f t="shared" si="0"/>
        <v>1950</v>
      </c>
      <c r="C16" s="122">
        <f t="shared" si="5"/>
        <v>1852.5</v>
      </c>
      <c r="D16" s="122">
        <f t="shared" si="6"/>
        <v>24880.373477717189</v>
      </c>
      <c r="E16" s="122">
        <f t="shared" si="1"/>
        <v>25626.784682048707</v>
      </c>
      <c r="F16" s="123"/>
      <c r="G16" s="122">
        <f t="shared" si="2"/>
        <v>97.5</v>
      </c>
      <c r="H16" s="122">
        <f t="shared" si="7"/>
        <v>-69.21169353622227</v>
      </c>
      <c r="I16" s="122">
        <f t="shared" si="3"/>
        <v>0.42432459695666591</v>
      </c>
      <c r="J16" s="124">
        <f>'Q2 Mortality table'!H38</f>
        <v>2.8089999999999665E-3</v>
      </c>
      <c r="K16" s="122">
        <f t="shared" si="4"/>
        <v>24373.215317951293</v>
      </c>
      <c r="L16" s="122">
        <f t="shared" si="8"/>
        <v>-68.464361828124368</v>
      </c>
      <c r="M16" s="122">
        <f t="shared" si="9"/>
        <v>-39.751730767389972</v>
      </c>
    </row>
    <row r="17" spans="1:13" x14ac:dyDescent="0.35">
      <c r="A17" s="57">
        <v>13</v>
      </c>
      <c r="B17" s="122">
        <f t="shared" si="0"/>
        <v>1950</v>
      </c>
      <c r="C17" s="122">
        <f t="shared" si="5"/>
        <v>1852.5</v>
      </c>
      <c r="D17" s="122">
        <f t="shared" si="6"/>
        <v>27479.284682048707</v>
      </c>
      <c r="E17" s="122">
        <f t="shared" si="1"/>
        <v>28303.663222510168</v>
      </c>
      <c r="F17" s="123"/>
      <c r="G17" s="122">
        <f t="shared" si="2"/>
        <v>97.5</v>
      </c>
      <c r="H17" s="122">
        <f t="shared" si="7"/>
        <v>-71.288044342308936</v>
      </c>
      <c r="I17" s="122">
        <f t="shared" si="3"/>
        <v>0.39317933486536594</v>
      </c>
      <c r="J17" s="124">
        <f>'Q2 Mortality table'!H39</f>
        <v>3.1519999999999829E-3</v>
      </c>
      <c r="K17" s="122">
        <f t="shared" si="4"/>
        <v>21696.336777489832</v>
      </c>
      <c r="L17" s="122">
        <f t="shared" si="8"/>
        <v>-68.386853522647584</v>
      </c>
      <c r="M17" s="122">
        <f t="shared" si="9"/>
        <v>-41.781718530091155</v>
      </c>
    </row>
    <row r="18" spans="1:13" x14ac:dyDescent="0.35">
      <c r="A18" s="57">
        <v>14</v>
      </c>
      <c r="B18" s="122">
        <f t="shared" si="0"/>
        <v>1950</v>
      </c>
      <c r="C18" s="122">
        <f t="shared" si="5"/>
        <v>1852.5</v>
      </c>
      <c r="D18" s="122">
        <f t="shared" si="6"/>
        <v>30156.163222510168</v>
      </c>
      <c r="E18" s="122">
        <f t="shared" si="1"/>
        <v>31060.848119185473</v>
      </c>
      <c r="F18" s="123"/>
      <c r="G18" s="122">
        <f t="shared" si="2"/>
        <v>97.5</v>
      </c>
      <c r="H18" s="122">
        <f t="shared" si="7"/>
        <v>-73.426685672578202</v>
      </c>
      <c r="I18" s="122">
        <f t="shared" si="3"/>
        <v>0.36109971491132697</v>
      </c>
      <c r="J18" s="124">
        <f>'Q2 Mortality table'!H40</f>
        <v>3.5389999999999042E-3</v>
      </c>
      <c r="K18" s="122">
        <f t="shared" si="4"/>
        <v>18939.151880814527</v>
      </c>
      <c r="L18" s="122">
        <f t="shared" si="8"/>
        <v>-67.025658506200799</v>
      </c>
      <c r="M18" s="122">
        <f t="shared" si="9"/>
        <v>-42.591244463867675</v>
      </c>
    </row>
    <row r="19" spans="1:13" x14ac:dyDescent="0.35">
      <c r="A19" s="57">
        <v>15</v>
      </c>
      <c r="B19" s="122">
        <f t="shared" si="0"/>
        <v>1950</v>
      </c>
      <c r="C19" s="122">
        <f t="shared" si="5"/>
        <v>1852.5</v>
      </c>
      <c r="D19" s="122">
        <f t="shared" si="6"/>
        <v>32913.348119185473</v>
      </c>
      <c r="E19" s="122">
        <f t="shared" si="1"/>
        <v>33900.748562761037</v>
      </c>
      <c r="F19" s="123"/>
      <c r="G19" s="122">
        <f t="shared" si="2"/>
        <v>97.5</v>
      </c>
      <c r="H19" s="122">
        <f t="shared" si="7"/>
        <v>-75.629486242755547</v>
      </c>
      <c r="I19" s="122">
        <f t="shared" si="3"/>
        <v>0.32805770635866677</v>
      </c>
      <c r="J19" s="124">
        <f>'Q2 Mortality table'!H41</f>
        <v>3.9760000000000177E-3</v>
      </c>
      <c r="K19" s="122">
        <f t="shared" si="4"/>
        <v>16099.251437238963</v>
      </c>
      <c r="L19" s="122">
        <f t="shared" si="8"/>
        <v>-64.010623714462398</v>
      </c>
      <c r="M19" s="122">
        <f t="shared" si="9"/>
        <v>-41.812052250859281</v>
      </c>
    </row>
    <row r="20" spans="1:13" x14ac:dyDescent="0.35">
      <c r="A20" s="57">
        <v>16</v>
      </c>
      <c r="B20" s="122">
        <f t="shared" si="0"/>
        <v>1950</v>
      </c>
      <c r="C20" s="122">
        <f t="shared" si="5"/>
        <v>1852.5</v>
      </c>
      <c r="D20" s="122">
        <f t="shared" si="6"/>
        <v>35753.248562761037</v>
      </c>
      <c r="E20" s="122">
        <f t="shared" si="1"/>
        <v>36825.846019643868</v>
      </c>
      <c r="F20" s="123"/>
      <c r="G20" s="122">
        <f t="shared" si="2"/>
        <v>97.5</v>
      </c>
      <c r="H20" s="122">
        <f t="shared" si="7"/>
        <v>-77.898370830038218</v>
      </c>
      <c r="I20" s="122">
        <f t="shared" si="3"/>
        <v>0.2940244375494267</v>
      </c>
      <c r="J20" s="124">
        <f>'Q2 Mortality table'!H42</f>
        <v>4.4690000000000294E-3</v>
      </c>
      <c r="K20" s="122">
        <f t="shared" si="4"/>
        <v>13174.153980356132</v>
      </c>
      <c r="L20" s="122">
        <f t="shared" si="8"/>
        <v>-58.875294138211942</v>
      </c>
      <c r="M20" s="122">
        <f t="shared" si="9"/>
        <v>-38.979640530700735</v>
      </c>
    </row>
    <row r="21" spans="1:13" x14ac:dyDescent="0.35">
      <c r="A21" s="57">
        <v>17</v>
      </c>
      <c r="B21" s="122">
        <f t="shared" si="0"/>
        <v>1950</v>
      </c>
      <c r="C21" s="122">
        <f t="shared" si="5"/>
        <v>1852.5</v>
      </c>
      <c r="D21" s="122">
        <f t="shared" si="6"/>
        <v>38678.346019643868</v>
      </c>
      <c r="E21" s="122">
        <f t="shared" si="1"/>
        <v>39838.696400233188</v>
      </c>
      <c r="F21" s="123"/>
      <c r="G21" s="122">
        <f t="shared" si="2"/>
        <v>97.5</v>
      </c>
      <c r="H21" s="122">
        <f t="shared" si="7"/>
        <v>-80.235321954939351</v>
      </c>
      <c r="I21" s="122">
        <f t="shared" si="3"/>
        <v>0.25897017067590972</v>
      </c>
      <c r="J21" s="124">
        <f>'Q2 Mortality table'!H43</f>
        <v>5.0249999999998846E-3</v>
      </c>
      <c r="K21" s="122">
        <f t="shared" si="4"/>
        <v>10161.303599766812</v>
      </c>
      <c r="L21" s="122">
        <f t="shared" si="8"/>
        <v>-51.060550588827056</v>
      </c>
      <c r="M21" s="122">
        <f t="shared" si="9"/>
        <v>-33.536902373090498</v>
      </c>
    </row>
    <row r="22" spans="1:13" x14ac:dyDescent="0.35">
      <c r="A22" s="57">
        <v>18</v>
      </c>
      <c r="B22" s="122">
        <f t="shared" si="0"/>
        <v>1950</v>
      </c>
      <c r="C22" s="122">
        <f t="shared" si="5"/>
        <v>1852.5</v>
      </c>
      <c r="D22" s="122">
        <f t="shared" si="6"/>
        <v>41691.196400233188</v>
      </c>
      <c r="E22" s="122">
        <f t="shared" si="1"/>
        <v>42941.932292240184</v>
      </c>
      <c r="F22" s="123"/>
      <c r="G22" s="122">
        <f t="shared" si="2"/>
        <v>97.5</v>
      </c>
      <c r="H22" s="122">
        <f t="shared" si="7"/>
        <v>-82.642381613587531</v>
      </c>
      <c r="I22" s="122">
        <f t="shared" si="3"/>
        <v>0.22286427579618703</v>
      </c>
      <c r="J22" s="124">
        <f>'Q2 Mortality table'!H44</f>
        <v>5.6499999999999519E-3</v>
      </c>
      <c r="K22" s="122">
        <f t="shared" si="4"/>
        <v>7058.0677077598157</v>
      </c>
      <c r="L22" s="122">
        <f t="shared" si="8"/>
        <v>-39.87808254884262</v>
      </c>
      <c r="M22" s="122">
        <f t="shared" si="9"/>
        <v>-24.797599886633964</v>
      </c>
    </row>
    <row r="23" spans="1:13" x14ac:dyDescent="0.35">
      <c r="A23" s="57">
        <v>19</v>
      </c>
      <c r="B23" s="122">
        <f t="shared" si="0"/>
        <v>1950</v>
      </c>
      <c r="C23" s="122">
        <f t="shared" si="5"/>
        <v>1852.5</v>
      </c>
      <c r="D23" s="122">
        <f t="shared" si="6"/>
        <v>44794.432292240184</v>
      </c>
      <c r="E23" s="122">
        <f t="shared" si="1"/>
        <v>46138.265261007393</v>
      </c>
      <c r="F23" s="123"/>
      <c r="G23" s="122">
        <f t="shared" si="2"/>
        <v>97.5</v>
      </c>
      <c r="H23" s="122">
        <f t="shared" si="7"/>
        <v>-85.121653061995161</v>
      </c>
      <c r="I23" s="122">
        <f t="shared" si="3"/>
        <v>0.18567520407007257</v>
      </c>
      <c r="J23" s="124">
        <f>'Q2 Mortality table'!H45</f>
        <v>6.3520000000000633E-3</v>
      </c>
      <c r="K23" s="122">
        <f t="shared" si="4"/>
        <v>3861.7347389926072</v>
      </c>
      <c r="L23" s="122">
        <f t="shared" si="8"/>
        <v>-24.529739062081287</v>
      </c>
      <c r="M23" s="122">
        <f t="shared" si="9"/>
        <v>-11.965716920006376</v>
      </c>
    </row>
    <row r="24" spans="1:13" x14ac:dyDescent="0.35">
      <c r="A24" s="57">
        <v>20</v>
      </c>
      <c r="B24" s="122">
        <f t="shared" si="0"/>
        <v>1950</v>
      </c>
      <c r="C24" s="122">
        <f t="shared" si="5"/>
        <v>1852.5</v>
      </c>
      <c r="D24" s="122">
        <f t="shared" si="6"/>
        <v>47990.765261007393</v>
      </c>
      <c r="E24" s="122">
        <f t="shared" si="1"/>
        <v>49430.488218837614</v>
      </c>
      <c r="F24" s="123"/>
      <c r="G24" s="122">
        <f t="shared" si="2"/>
        <v>97.5</v>
      </c>
      <c r="H24" s="122">
        <f t="shared" si="7"/>
        <v>-87.675302653855013</v>
      </c>
      <c r="I24" s="122">
        <f t="shared" si="3"/>
        <v>0.14737046019217478</v>
      </c>
      <c r="J24" s="124">
        <f>'Q2 Mortality table'!H46</f>
        <v>7.1400000000001072E-3</v>
      </c>
      <c r="K24" s="122">
        <f t="shared" si="4"/>
        <v>569.51178116238589</v>
      </c>
      <c r="L24" s="122">
        <f t="shared" si="8"/>
        <v>-4.0663141174994966</v>
      </c>
      <c r="M24" s="122">
        <f t="shared" si="9"/>
        <v>5.9057536888376649</v>
      </c>
    </row>
    <row r="25" spans="1:13" x14ac:dyDescent="0.35">
      <c r="A25" s="57">
        <v>21</v>
      </c>
      <c r="B25" s="122">
        <f t="shared" si="0"/>
        <v>1950</v>
      </c>
      <c r="C25" s="122">
        <f t="shared" si="5"/>
        <v>1852.5</v>
      </c>
      <c r="D25" s="122">
        <f t="shared" si="6"/>
        <v>51282.988218837614</v>
      </c>
      <c r="E25" s="122">
        <f t="shared" si="1"/>
        <v>52821.477865402747</v>
      </c>
      <c r="F25" s="123"/>
      <c r="G25" s="122">
        <f t="shared" si="2"/>
        <v>97.5</v>
      </c>
      <c r="H25" s="122">
        <f t="shared" si="7"/>
        <v>-90.305561733470668</v>
      </c>
      <c r="I25" s="122">
        <f t="shared" si="3"/>
        <v>0.10791657399793997</v>
      </c>
      <c r="J25" s="124">
        <f>'Q2 Mortality table'!H47</f>
        <v>8.022000000000069E-3</v>
      </c>
      <c r="K25" s="122">
        <f t="shared" si="4"/>
        <v>0</v>
      </c>
      <c r="L25" s="122">
        <f t="shared" si="8"/>
        <v>0</v>
      </c>
      <c r="M25" s="122">
        <f t="shared" si="9"/>
        <v>7.302354840527272</v>
      </c>
    </row>
    <row r="26" spans="1:13" x14ac:dyDescent="0.35">
      <c r="A26" s="57">
        <v>22</v>
      </c>
      <c r="B26" s="122">
        <f t="shared" si="0"/>
        <v>1950</v>
      </c>
      <c r="C26" s="122">
        <f t="shared" si="5"/>
        <v>1852.5</v>
      </c>
      <c r="D26" s="122">
        <f t="shared" si="6"/>
        <v>54673.977865402747</v>
      </c>
      <c r="E26" s="122">
        <f t="shared" si="1"/>
        <v>56314.197201364834</v>
      </c>
      <c r="F26" s="123"/>
      <c r="G26" s="122">
        <f t="shared" si="2"/>
        <v>97.5</v>
      </c>
      <c r="H26" s="122">
        <f t="shared" si="7"/>
        <v>-93.014728585474771</v>
      </c>
      <c r="I26" s="122">
        <f t="shared" si="3"/>
        <v>6.7279071217878433E-2</v>
      </c>
      <c r="J26" s="124">
        <f>'Q2 Mortality table'!H48</f>
        <v>9.0090000000001332E-3</v>
      </c>
      <c r="K26" s="122">
        <f t="shared" si="4"/>
        <v>0</v>
      </c>
      <c r="L26" s="122">
        <f t="shared" si="8"/>
        <v>0</v>
      </c>
      <c r="M26" s="122">
        <f t="shared" si="9"/>
        <v>4.5525504857431081</v>
      </c>
    </row>
    <row r="27" spans="1:13" x14ac:dyDescent="0.35">
      <c r="A27" s="57">
        <v>23</v>
      </c>
      <c r="B27" s="122">
        <f t="shared" si="0"/>
        <v>1950</v>
      </c>
      <c r="C27" s="122">
        <f t="shared" si="5"/>
        <v>1852.5</v>
      </c>
      <c r="D27" s="122">
        <f t="shared" si="6"/>
        <v>58166.697201364834</v>
      </c>
      <c r="E27" s="122">
        <f t="shared" si="1"/>
        <v>59911.69811740578</v>
      </c>
      <c r="F27" s="123"/>
      <c r="G27" s="122">
        <f t="shared" si="2"/>
        <v>97.5</v>
      </c>
      <c r="H27" s="122">
        <f t="shared" si="7"/>
        <v>-95.805170443039017</v>
      </c>
      <c r="I27" s="122">
        <f t="shared" si="3"/>
        <v>2.5422443354414737E-2</v>
      </c>
      <c r="J27" s="124">
        <f>'Q2 Mortality table'!H49</f>
        <v>1.0111999999999927E-2</v>
      </c>
      <c r="K27" s="122">
        <f t="shared" si="4"/>
        <v>0</v>
      </c>
      <c r="L27" s="122">
        <f t="shared" si="8"/>
        <v>0</v>
      </c>
      <c r="M27" s="122">
        <f t="shared" si="9"/>
        <v>1.7202520003153974</v>
      </c>
    </row>
    <row r="28" spans="1:13" x14ac:dyDescent="0.35">
      <c r="A28" s="57">
        <v>24</v>
      </c>
      <c r="B28" s="122">
        <f t="shared" si="0"/>
        <v>1950</v>
      </c>
      <c r="C28" s="122">
        <f t="shared" si="5"/>
        <v>1852.5</v>
      </c>
      <c r="D28" s="122">
        <f t="shared" si="6"/>
        <v>61764.19811740578</v>
      </c>
      <c r="E28" s="122">
        <f t="shared" si="1"/>
        <v>63617.124060927956</v>
      </c>
      <c r="F28" s="123"/>
      <c r="G28" s="122">
        <f t="shared" si="2"/>
        <v>97.5</v>
      </c>
      <c r="H28" s="122">
        <f t="shared" si="7"/>
        <v>-98.679325556330198</v>
      </c>
      <c r="I28" s="122">
        <f t="shared" si="3"/>
        <v>-1.7689883344952972E-2</v>
      </c>
      <c r="J28" s="124">
        <f>'Q2 Mortality table'!H50</f>
        <v>1.134400000000001E-2</v>
      </c>
      <c r="K28" s="122">
        <f t="shared" si="4"/>
        <v>0</v>
      </c>
      <c r="L28" s="122">
        <f t="shared" si="8"/>
        <v>0</v>
      </c>
      <c r="M28" s="122">
        <f t="shared" si="9"/>
        <v>-1.1970154396751513</v>
      </c>
    </row>
    <row r="29" spans="1:13" x14ac:dyDescent="0.35">
      <c r="A29" s="57">
        <v>25</v>
      </c>
      <c r="B29" s="122">
        <f t="shared" si="0"/>
        <v>1950</v>
      </c>
      <c r="C29" s="122">
        <f t="shared" si="5"/>
        <v>1852.5</v>
      </c>
      <c r="D29" s="122">
        <f t="shared" si="6"/>
        <v>65469.624060927956</v>
      </c>
      <c r="E29" s="122">
        <f t="shared" si="1"/>
        <v>67433.7127827558</v>
      </c>
      <c r="F29" s="123"/>
      <c r="G29" s="122">
        <f t="shared" si="2"/>
        <v>97.5</v>
      </c>
      <c r="H29" s="122">
        <f t="shared" si="7"/>
        <v>-101.6397053230201</v>
      </c>
      <c r="I29" s="122">
        <f t="shared" si="3"/>
        <v>-6.2095579845301424E-2</v>
      </c>
      <c r="J29" s="124">
        <f>'Q2 Mortality table'!H51</f>
        <v>1.271599999999987E-2</v>
      </c>
      <c r="K29" s="122">
        <f t="shared" si="4"/>
        <v>0</v>
      </c>
      <c r="L29" s="122">
        <f t="shared" si="8"/>
        <v>0</v>
      </c>
      <c r="M29" s="122">
        <f t="shared" si="9"/>
        <v>-4.2018009028653971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9"/>
  <sheetViews>
    <sheetView workbookViewId="0">
      <selection activeCell="A4" sqref="A4"/>
    </sheetView>
  </sheetViews>
  <sheetFormatPr defaultColWidth="11.81640625" defaultRowHeight="14.5" x14ac:dyDescent="0.35"/>
  <cols>
    <col min="5" max="5" width="11.81640625" customWidth="1"/>
    <col min="6" max="6" width="1.453125" customWidth="1"/>
    <col min="10" max="10" width="11.81640625" style="119"/>
  </cols>
  <sheetData>
    <row r="1" spans="1:13" s="28" customFormat="1" ht="21" x14ac:dyDescent="0.5">
      <c r="A1" s="23" t="s">
        <v>138</v>
      </c>
      <c r="J1" s="125"/>
    </row>
    <row r="2" spans="1:13" x14ac:dyDescent="0.35">
      <c r="B2" s="45" t="s">
        <v>125</v>
      </c>
      <c r="C2" s="46"/>
      <c r="G2" s="45" t="s">
        <v>126</v>
      </c>
      <c r="H2" s="126"/>
      <c r="I2" s="46"/>
    </row>
    <row r="3" spans="1:13" x14ac:dyDescent="0.35">
      <c r="A3" s="59"/>
      <c r="B3" s="127"/>
      <c r="C3" s="127" t="s">
        <v>127</v>
      </c>
      <c r="D3" s="127" t="s">
        <v>128</v>
      </c>
      <c r="E3" s="127" t="s">
        <v>128</v>
      </c>
      <c r="F3" s="123"/>
      <c r="G3" s="127" t="s">
        <v>129</v>
      </c>
      <c r="H3" s="127"/>
      <c r="I3" s="127"/>
      <c r="J3" s="120" t="s">
        <v>68</v>
      </c>
      <c r="K3" s="127" t="s">
        <v>130</v>
      </c>
      <c r="L3" s="127" t="s">
        <v>78</v>
      </c>
      <c r="M3" s="127" t="s">
        <v>131</v>
      </c>
    </row>
    <row r="4" spans="1:13" x14ac:dyDescent="0.35">
      <c r="A4" s="62" t="s">
        <v>67</v>
      </c>
      <c r="B4" s="128" t="s">
        <v>72</v>
      </c>
      <c r="C4" s="128" t="s">
        <v>132</v>
      </c>
      <c r="D4" s="128" t="s">
        <v>133</v>
      </c>
      <c r="E4" s="128" t="s">
        <v>134</v>
      </c>
      <c r="F4" s="123"/>
      <c r="G4" s="128" t="s">
        <v>135</v>
      </c>
      <c r="H4" s="128" t="s">
        <v>73</v>
      </c>
      <c r="I4" s="128" t="s">
        <v>75</v>
      </c>
      <c r="J4" s="121" t="s">
        <v>84</v>
      </c>
      <c r="K4" s="128" t="s">
        <v>136</v>
      </c>
      <c r="L4" s="128" t="s">
        <v>137</v>
      </c>
      <c r="M4" s="128" t="s">
        <v>91</v>
      </c>
    </row>
    <row r="5" spans="1:13" x14ac:dyDescent="0.35">
      <c r="A5" s="57">
        <v>1</v>
      </c>
      <c r="B5" s="122">
        <f t="shared" ref="B5:B29" si="0">P</f>
        <v>1950</v>
      </c>
      <c r="C5" s="122">
        <f>B5*A*(1-BO)</f>
        <v>833.625</v>
      </c>
      <c r="D5" s="122">
        <f>C5</f>
        <v>833.625</v>
      </c>
      <c r="E5" s="122">
        <f t="shared" ref="E5:E29" si="1">D5*(1+ProUG)</f>
        <v>866.97</v>
      </c>
      <c r="F5" s="123"/>
      <c r="G5" s="122">
        <f t="shared" ref="G5:G29" si="2">B5-C5</f>
        <v>1116.375</v>
      </c>
      <c r="H5" s="122">
        <f>-ProIE</f>
        <v>-1000</v>
      </c>
      <c r="I5" s="122">
        <f t="shared" ref="I5:I29" si="3">(G5+H5)*ProINT</f>
        <v>2.3275000000000001</v>
      </c>
      <c r="J5" s="124">
        <f>'Q2 Mortality table'!H27*ProMM</f>
        <v>7.4959999999990069E-4</v>
      </c>
      <c r="K5" s="122">
        <f t="shared" ref="K5:K29" si="4">MAX(D-E5,0)</f>
        <v>49133.03</v>
      </c>
      <c r="L5" s="122">
        <f>-J5*K5</f>
        <v>-36.830119287995117</v>
      </c>
      <c r="M5" s="122">
        <f>G5+H5+I5+L5</f>
        <v>81.872380712004883</v>
      </c>
    </row>
    <row r="6" spans="1:13" x14ac:dyDescent="0.35">
      <c r="A6" s="57">
        <v>2</v>
      </c>
      <c r="B6" s="122">
        <f t="shared" si="0"/>
        <v>1950</v>
      </c>
      <c r="C6" s="122">
        <f t="shared" ref="C6:C29" si="5">B6*(1-BO)</f>
        <v>1852.5</v>
      </c>
      <c r="D6" s="122">
        <f t="shared" ref="D6:D29" si="6">C6+E5</f>
        <v>2719.4700000000003</v>
      </c>
      <c r="E6" s="122">
        <f t="shared" si="1"/>
        <v>2828.2488000000003</v>
      </c>
      <c r="F6" s="123"/>
      <c r="G6" s="122">
        <f t="shared" si="2"/>
        <v>97.5</v>
      </c>
      <c r="H6" s="122">
        <f t="shared" ref="H6:H29" si="7">-ProRE*(1+ProINF)^A5</f>
        <v>-51</v>
      </c>
      <c r="I6" s="122">
        <f t="shared" si="3"/>
        <v>0.93</v>
      </c>
      <c r="J6" s="124">
        <f>'Q2 Mortality table'!H28*ProMM</f>
        <v>8.1119999999989742E-4</v>
      </c>
      <c r="K6" s="122">
        <f t="shared" si="4"/>
        <v>47171.751199999999</v>
      </c>
      <c r="L6" s="122">
        <f t="shared" ref="L6:L29" si="8">-J6*K6</f>
        <v>-38.265724573435158</v>
      </c>
      <c r="M6" s="122">
        <f t="shared" ref="M6:M29" si="9">G6+H6+I6+L6</f>
        <v>9.1642754265648421</v>
      </c>
    </row>
    <row r="7" spans="1:13" x14ac:dyDescent="0.35">
      <c r="A7" s="57">
        <v>3</v>
      </c>
      <c r="B7" s="122">
        <f t="shared" si="0"/>
        <v>1950</v>
      </c>
      <c r="C7" s="122">
        <f t="shared" si="5"/>
        <v>1852.5</v>
      </c>
      <c r="D7" s="122">
        <f t="shared" si="6"/>
        <v>4680.7488000000003</v>
      </c>
      <c r="E7" s="122">
        <f t="shared" si="1"/>
        <v>4867.9787520000009</v>
      </c>
      <c r="F7" s="123"/>
      <c r="G7" s="122">
        <f t="shared" si="2"/>
        <v>97.5</v>
      </c>
      <c r="H7" s="122">
        <f t="shared" si="7"/>
        <v>-52.019999999999996</v>
      </c>
      <c r="I7" s="122">
        <f t="shared" si="3"/>
        <v>0.90960000000000008</v>
      </c>
      <c r="J7" s="124">
        <f>'Q2 Mortality table'!H29*ProMM</f>
        <v>8.8320000000001496E-4</v>
      </c>
      <c r="K7" s="122">
        <f t="shared" si="4"/>
        <v>45132.021247999997</v>
      </c>
      <c r="L7" s="122">
        <f t="shared" si="8"/>
        <v>-39.860601166234275</v>
      </c>
      <c r="M7" s="122">
        <f t="shared" si="9"/>
        <v>6.5289988337657263</v>
      </c>
    </row>
    <row r="8" spans="1:13" x14ac:dyDescent="0.35">
      <c r="A8" s="57">
        <v>4</v>
      </c>
      <c r="B8" s="122">
        <f t="shared" si="0"/>
        <v>1950</v>
      </c>
      <c r="C8" s="122">
        <f t="shared" si="5"/>
        <v>1852.5</v>
      </c>
      <c r="D8" s="122">
        <f t="shared" si="6"/>
        <v>6720.4787520000009</v>
      </c>
      <c r="E8" s="122">
        <f t="shared" si="1"/>
        <v>6989.2979020800012</v>
      </c>
      <c r="F8" s="123"/>
      <c r="G8" s="122">
        <f t="shared" si="2"/>
        <v>97.5</v>
      </c>
      <c r="H8" s="122">
        <f t="shared" si="7"/>
        <v>-53.060399999999994</v>
      </c>
      <c r="I8" s="122">
        <f t="shared" si="3"/>
        <v>0.88879200000000014</v>
      </c>
      <c r="J8" s="124">
        <f>'Q2 Mortality table'!H30*ProMM</f>
        <v>9.6639999999992103E-4</v>
      </c>
      <c r="K8" s="122">
        <f t="shared" si="4"/>
        <v>43010.702097920002</v>
      </c>
      <c r="L8" s="122">
        <f t="shared" si="8"/>
        <v>-41.565542507426493</v>
      </c>
      <c r="M8" s="122">
        <f t="shared" si="9"/>
        <v>3.7628494925735154</v>
      </c>
    </row>
    <row r="9" spans="1:13" x14ac:dyDescent="0.35">
      <c r="A9" s="57">
        <v>5</v>
      </c>
      <c r="B9" s="122">
        <f t="shared" si="0"/>
        <v>1950</v>
      </c>
      <c r="C9" s="122">
        <f t="shared" si="5"/>
        <v>1852.5</v>
      </c>
      <c r="D9" s="122">
        <f t="shared" si="6"/>
        <v>8841.7979020800012</v>
      </c>
      <c r="E9" s="122">
        <f t="shared" si="1"/>
        <v>9195.4698181632011</v>
      </c>
      <c r="F9" s="123"/>
      <c r="G9" s="122">
        <f t="shared" si="2"/>
        <v>97.5</v>
      </c>
      <c r="H9" s="122">
        <f t="shared" si="7"/>
        <v>-54.121608000000002</v>
      </c>
      <c r="I9" s="122">
        <f t="shared" si="3"/>
        <v>0.86756783999999998</v>
      </c>
      <c r="J9" s="124">
        <f>'Q2 Mortality table'!H31*ProMM</f>
        <v>1.0616000000000156E-3</v>
      </c>
      <c r="K9" s="122">
        <f t="shared" si="4"/>
        <v>40804.530181836803</v>
      </c>
      <c r="L9" s="122">
        <f t="shared" si="8"/>
        <v>-43.318089241038585</v>
      </c>
      <c r="M9" s="122">
        <f t="shared" si="9"/>
        <v>0.92787059896141244</v>
      </c>
    </row>
    <row r="10" spans="1:13" x14ac:dyDescent="0.35">
      <c r="A10" s="57">
        <v>6</v>
      </c>
      <c r="B10" s="122">
        <f t="shared" si="0"/>
        <v>1950</v>
      </c>
      <c r="C10" s="122">
        <f t="shared" si="5"/>
        <v>1852.5</v>
      </c>
      <c r="D10" s="122">
        <f t="shared" si="6"/>
        <v>11047.969818163201</v>
      </c>
      <c r="E10" s="122">
        <f t="shared" si="1"/>
        <v>11489.88861088973</v>
      </c>
      <c r="F10" s="123"/>
      <c r="G10" s="122">
        <f t="shared" si="2"/>
        <v>97.5</v>
      </c>
      <c r="H10" s="122">
        <f t="shared" si="7"/>
        <v>-55.204040159999998</v>
      </c>
      <c r="I10" s="122">
        <f t="shared" si="3"/>
        <v>0.84591919680000005</v>
      </c>
      <c r="J10" s="124">
        <f>'Q2 Mortality table'!H32*ProMM</f>
        <v>1.1719999999999702E-3</v>
      </c>
      <c r="K10" s="122">
        <f t="shared" si="4"/>
        <v>38510.111389110272</v>
      </c>
      <c r="L10" s="122">
        <f t="shared" si="8"/>
        <v>-45.133850548036087</v>
      </c>
      <c r="M10" s="122">
        <f t="shared" si="9"/>
        <v>-1.9919715112360876</v>
      </c>
    </row>
    <row r="11" spans="1:13" x14ac:dyDescent="0.35">
      <c r="A11" s="57">
        <v>7</v>
      </c>
      <c r="B11" s="122">
        <f t="shared" si="0"/>
        <v>1950</v>
      </c>
      <c r="C11" s="122">
        <f t="shared" si="5"/>
        <v>1852.5</v>
      </c>
      <c r="D11" s="122">
        <f t="shared" si="6"/>
        <v>13342.38861088973</v>
      </c>
      <c r="E11" s="122">
        <f t="shared" si="1"/>
        <v>13876.084155325319</v>
      </c>
      <c r="F11" s="123"/>
      <c r="G11" s="122">
        <f t="shared" si="2"/>
        <v>97.5</v>
      </c>
      <c r="H11" s="122">
        <f t="shared" si="7"/>
        <v>-56.308120963200004</v>
      </c>
      <c r="I11" s="122">
        <f t="shared" si="3"/>
        <v>0.82383758073599989</v>
      </c>
      <c r="J11" s="124">
        <f>'Q2 Mortality table'!H33*ProMM</f>
        <v>1.2976000000000491E-3</v>
      </c>
      <c r="K11" s="122">
        <f t="shared" si="4"/>
        <v>36123.915844674681</v>
      </c>
      <c r="L11" s="122">
        <f t="shared" si="8"/>
        <v>-46.874393200051642</v>
      </c>
      <c r="M11" s="122">
        <f t="shared" si="9"/>
        <v>-4.858676582515649</v>
      </c>
    </row>
    <row r="12" spans="1:13" x14ac:dyDescent="0.35">
      <c r="A12" s="57">
        <v>8</v>
      </c>
      <c r="B12" s="122">
        <f t="shared" si="0"/>
        <v>1950</v>
      </c>
      <c r="C12" s="122">
        <f t="shared" si="5"/>
        <v>1852.5</v>
      </c>
      <c r="D12" s="122">
        <f t="shared" si="6"/>
        <v>15728.584155325319</v>
      </c>
      <c r="E12" s="122">
        <f t="shared" si="1"/>
        <v>16357.727521538332</v>
      </c>
      <c r="F12" s="123"/>
      <c r="G12" s="122">
        <f t="shared" si="2"/>
        <v>97.5</v>
      </c>
      <c r="H12" s="122">
        <f t="shared" si="7"/>
        <v>-57.434283382463988</v>
      </c>
      <c r="I12" s="122">
        <f t="shared" si="3"/>
        <v>0.80131433235072025</v>
      </c>
      <c r="J12" s="124">
        <f>'Q2 Mortality table'!H34*ProMM</f>
        <v>1.4415999999999635E-3</v>
      </c>
      <c r="K12" s="122">
        <f t="shared" si="4"/>
        <v>33642.272478461666</v>
      </c>
      <c r="L12" s="122">
        <f t="shared" si="8"/>
        <v>-48.498700004949107</v>
      </c>
      <c r="M12" s="122">
        <f t="shared" si="9"/>
        <v>-7.6316690550623747</v>
      </c>
    </row>
    <row r="13" spans="1:13" x14ac:dyDescent="0.35">
      <c r="A13" s="57">
        <v>9</v>
      </c>
      <c r="B13" s="122">
        <f t="shared" si="0"/>
        <v>1950</v>
      </c>
      <c r="C13" s="122">
        <f t="shared" si="5"/>
        <v>1852.5</v>
      </c>
      <c r="D13" s="122">
        <f t="shared" si="6"/>
        <v>18210.227521538334</v>
      </c>
      <c r="E13" s="122">
        <f t="shared" si="1"/>
        <v>18938.636622399867</v>
      </c>
      <c r="F13" s="123"/>
      <c r="G13" s="122">
        <f t="shared" si="2"/>
        <v>97.5</v>
      </c>
      <c r="H13" s="122">
        <f t="shared" si="7"/>
        <v>-58.582969050113277</v>
      </c>
      <c r="I13" s="122">
        <f t="shared" si="3"/>
        <v>0.77834061899773443</v>
      </c>
      <c r="J13" s="124">
        <f>'Q2 Mortality table'!H35*ProMM</f>
        <v>1.6063999999999679E-3</v>
      </c>
      <c r="K13" s="122">
        <f t="shared" si="4"/>
        <v>31061.363377600133</v>
      </c>
      <c r="L13" s="122">
        <f t="shared" si="8"/>
        <v>-49.896974129775856</v>
      </c>
      <c r="M13" s="122">
        <f t="shared" si="9"/>
        <v>-10.201602560891402</v>
      </c>
    </row>
    <row r="14" spans="1:13" x14ac:dyDescent="0.35">
      <c r="A14" s="57">
        <v>10</v>
      </c>
      <c r="B14" s="122">
        <f t="shared" si="0"/>
        <v>1950</v>
      </c>
      <c r="C14" s="122">
        <f t="shared" si="5"/>
        <v>1852.5</v>
      </c>
      <c r="D14" s="122">
        <f t="shared" si="6"/>
        <v>20791.136622399867</v>
      </c>
      <c r="E14" s="122">
        <f t="shared" si="1"/>
        <v>21622.782087295862</v>
      </c>
      <c r="F14" s="123"/>
      <c r="G14" s="122">
        <f t="shared" si="2"/>
        <v>97.5</v>
      </c>
      <c r="H14" s="122">
        <f t="shared" si="7"/>
        <v>-59.754628431115542</v>
      </c>
      <c r="I14" s="122">
        <f t="shared" si="3"/>
        <v>0.75490743137768923</v>
      </c>
      <c r="J14" s="124">
        <f>'Q2 Mortality table'!H36*ProMM</f>
        <v>1.7928000000000861E-3</v>
      </c>
      <c r="K14" s="122">
        <f t="shared" si="4"/>
        <v>28377.217912704138</v>
      </c>
      <c r="L14" s="122">
        <f t="shared" si="8"/>
        <v>-50.874676273898423</v>
      </c>
      <c r="M14" s="122">
        <f t="shared" si="9"/>
        <v>-12.374397273636276</v>
      </c>
    </row>
    <row r="15" spans="1:13" x14ac:dyDescent="0.35">
      <c r="A15" s="57">
        <v>11</v>
      </c>
      <c r="B15" s="122">
        <f t="shared" si="0"/>
        <v>1950</v>
      </c>
      <c r="C15" s="122">
        <f t="shared" si="5"/>
        <v>1852.5</v>
      </c>
      <c r="D15" s="122">
        <f t="shared" si="6"/>
        <v>23475.282087295862</v>
      </c>
      <c r="E15" s="122">
        <f t="shared" si="1"/>
        <v>24414.293370787698</v>
      </c>
      <c r="F15" s="123"/>
      <c r="G15" s="122">
        <f t="shared" si="2"/>
        <v>97.5</v>
      </c>
      <c r="H15" s="122">
        <f t="shared" si="7"/>
        <v>-60.949720999737856</v>
      </c>
      <c r="I15" s="122">
        <f t="shared" si="3"/>
        <v>0.73100558000524285</v>
      </c>
      <c r="J15" s="124">
        <f>'Q2 Mortality table'!H37*ProMM</f>
        <v>2.0063999999998892E-3</v>
      </c>
      <c r="K15" s="122">
        <f t="shared" si="4"/>
        <v>25585.706629212302</v>
      </c>
      <c r="L15" s="122">
        <f t="shared" si="8"/>
        <v>-51.335161780848729</v>
      </c>
      <c r="M15" s="122">
        <f t="shared" si="9"/>
        <v>-14.05387720058134</v>
      </c>
    </row>
    <row r="16" spans="1:13" x14ac:dyDescent="0.35">
      <c r="A16" s="57">
        <v>12</v>
      </c>
      <c r="B16" s="122">
        <f t="shared" si="0"/>
        <v>1950</v>
      </c>
      <c r="C16" s="122">
        <f t="shared" si="5"/>
        <v>1852.5</v>
      </c>
      <c r="D16" s="122">
        <f t="shared" si="6"/>
        <v>26266.793370787698</v>
      </c>
      <c r="E16" s="122">
        <f t="shared" si="1"/>
        <v>27317.465105619209</v>
      </c>
      <c r="F16" s="123"/>
      <c r="G16" s="122">
        <f t="shared" si="2"/>
        <v>97.5</v>
      </c>
      <c r="H16" s="122">
        <f t="shared" si="7"/>
        <v>-62.1687154197326</v>
      </c>
      <c r="I16" s="122">
        <f t="shared" si="3"/>
        <v>0.70662569160534805</v>
      </c>
      <c r="J16" s="124">
        <f>'Q2 Mortality table'!H38*ProMM</f>
        <v>2.2471999999999731E-3</v>
      </c>
      <c r="K16" s="122">
        <f t="shared" si="4"/>
        <v>22682.534894380791</v>
      </c>
      <c r="L16" s="122">
        <f t="shared" si="8"/>
        <v>-50.972192414651907</v>
      </c>
      <c r="M16" s="122">
        <f t="shared" si="9"/>
        <v>-14.934282142779161</v>
      </c>
    </row>
    <row r="17" spans="1:13" x14ac:dyDescent="0.35">
      <c r="A17" s="57">
        <v>13</v>
      </c>
      <c r="B17" s="122">
        <f t="shared" si="0"/>
        <v>1950</v>
      </c>
      <c r="C17" s="122">
        <f t="shared" si="5"/>
        <v>1852.5</v>
      </c>
      <c r="D17" s="122">
        <f t="shared" si="6"/>
        <v>29169.965105619209</v>
      </c>
      <c r="E17" s="122">
        <f t="shared" si="1"/>
        <v>30336.763709843977</v>
      </c>
      <c r="F17" s="123"/>
      <c r="G17" s="122">
        <f t="shared" si="2"/>
        <v>97.5</v>
      </c>
      <c r="H17" s="122">
        <f t="shared" si="7"/>
        <v>-63.412089728127263</v>
      </c>
      <c r="I17" s="122">
        <f t="shared" si="3"/>
        <v>0.6817582054374548</v>
      </c>
      <c r="J17" s="124">
        <f>'Q2 Mortality table'!H39*ProMM</f>
        <v>2.5215999999999867E-3</v>
      </c>
      <c r="K17" s="122">
        <f t="shared" si="4"/>
        <v>19663.236290156023</v>
      </c>
      <c r="L17" s="122">
        <f t="shared" si="8"/>
        <v>-49.582816629257167</v>
      </c>
      <c r="M17" s="122">
        <f t="shared" si="9"/>
        <v>-14.813148151946976</v>
      </c>
    </row>
    <row r="18" spans="1:13" x14ac:dyDescent="0.35">
      <c r="A18" s="57">
        <v>14</v>
      </c>
      <c r="B18" s="122">
        <f t="shared" si="0"/>
        <v>1950</v>
      </c>
      <c r="C18" s="122">
        <f t="shared" si="5"/>
        <v>1852.5</v>
      </c>
      <c r="D18" s="122">
        <f t="shared" si="6"/>
        <v>32189.263709843977</v>
      </c>
      <c r="E18" s="122">
        <f t="shared" si="1"/>
        <v>33476.834258237737</v>
      </c>
      <c r="F18" s="123"/>
      <c r="G18" s="122">
        <f t="shared" si="2"/>
        <v>97.5</v>
      </c>
      <c r="H18" s="122">
        <f t="shared" si="7"/>
        <v>-64.680331522689798</v>
      </c>
      <c r="I18" s="122">
        <f t="shared" si="3"/>
        <v>0.65639336954620409</v>
      </c>
      <c r="J18" s="124">
        <f>'Q2 Mortality table'!H40*ProMM</f>
        <v>2.8311999999999235E-3</v>
      </c>
      <c r="K18" s="122">
        <f t="shared" si="4"/>
        <v>16523.165741762263</v>
      </c>
      <c r="L18" s="122">
        <f t="shared" si="8"/>
        <v>-46.780386848076056</v>
      </c>
      <c r="M18" s="122">
        <f t="shared" si="9"/>
        <v>-13.304325001219652</v>
      </c>
    </row>
    <row r="19" spans="1:13" x14ac:dyDescent="0.35">
      <c r="A19" s="57">
        <v>15</v>
      </c>
      <c r="B19" s="122">
        <f t="shared" si="0"/>
        <v>1950</v>
      </c>
      <c r="C19" s="122">
        <f t="shared" si="5"/>
        <v>1852.5</v>
      </c>
      <c r="D19" s="122">
        <f t="shared" si="6"/>
        <v>35329.334258237737</v>
      </c>
      <c r="E19" s="122">
        <f t="shared" si="1"/>
        <v>36742.507628567248</v>
      </c>
      <c r="F19" s="123"/>
      <c r="G19" s="122">
        <f t="shared" si="2"/>
        <v>97.5</v>
      </c>
      <c r="H19" s="122">
        <f t="shared" si="7"/>
        <v>-65.973938153143607</v>
      </c>
      <c r="I19" s="122">
        <f t="shared" si="3"/>
        <v>0.63052123693712792</v>
      </c>
      <c r="J19" s="124">
        <f>'Q2 Mortality table'!H41*ProMM</f>
        <v>3.1808000000000144E-3</v>
      </c>
      <c r="K19" s="122">
        <f t="shared" si="4"/>
        <v>13257.492371432752</v>
      </c>
      <c r="L19" s="122">
        <f t="shared" si="8"/>
        <v>-42.169431735053493</v>
      </c>
      <c r="M19" s="122">
        <f t="shared" si="9"/>
        <v>-10.012848651259972</v>
      </c>
    </row>
    <row r="20" spans="1:13" x14ac:dyDescent="0.35">
      <c r="A20" s="57">
        <v>16</v>
      </c>
      <c r="B20" s="122">
        <f t="shared" si="0"/>
        <v>1950</v>
      </c>
      <c r="C20" s="122">
        <f t="shared" si="5"/>
        <v>1852.5</v>
      </c>
      <c r="D20" s="122">
        <f t="shared" si="6"/>
        <v>38595.007628567248</v>
      </c>
      <c r="E20" s="122">
        <f t="shared" si="1"/>
        <v>40138.807933709941</v>
      </c>
      <c r="F20" s="123"/>
      <c r="G20" s="122">
        <f t="shared" si="2"/>
        <v>97.5</v>
      </c>
      <c r="H20" s="122">
        <f t="shared" si="7"/>
        <v>-67.293416916206468</v>
      </c>
      <c r="I20" s="122">
        <f t="shared" si="3"/>
        <v>0.60413166167587062</v>
      </c>
      <c r="J20" s="124">
        <f>'Q2 Mortality table'!H42*ProMM</f>
        <v>3.5752000000000236E-3</v>
      </c>
      <c r="K20" s="122">
        <f t="shared" si="4"/>
        <v>9861.1920662900593</v>
      </c>
      <c r="L20" s="122">
        <f t="shared" si="8"/>
        <v>-35.255733875400452</v>
      </c>
      <c r="M20" s="122">
        <f t="shared" si="9"/>
        <v>-4.4450191299310475</v>
      </c>
    </row>
    <row r="21" spans="1:13" x14ac:dyDescent="0.35">
      <c r="A21" s="57">
        <v>17</v>
      </c>
      <c r="B21" s="122">
        <f t="shared" si="0"/>
        <v>1950</v>
      </c>
      <c r="C21" s="122">
        <f t="shared" si="5"/>
        <v>1852.5</v>
      </c>
      <c r="D21" s="122">
        <f t="shared" si="6"/>
        <v>41991.307933709941</v>
      </c>
      <c r="E21" s="122">
        <f t="shared" si="1"/>
        <v>43670.960251058343</v>
      </c>
      <c r="F21" s="123"/>
      <c r="G21" s="122">
        <f t="shared" si="2"/>
        <v>97.5</v>
      </c>
      <c r="H21" s="122">
        <f t="shared" si="7"/>
        <v>-68.639285254530606</v>
      </c>
      <c r="I21" s="122">
        <f t="shared" si="3"/>
        <v>0.57721429490938791</v>
      </c>
      <c r="J21" s="124">
        <f>'Q2 Mortality table'!H43*ProMM</f>
        <v>4.0199999999999082E-3</v>
      </c>
      <c r="K21" s="122">
        <f t="shared" si="4"/>
        <v>6329.0397489416573</v>
      </c>
      <c r="L21" s="122">
        <f t="shared" si="8"/>
        <v>-25.442739790744881</v>
      </c>
      <c r="M21" s="122">
        <f t="shared" si="9"/>
        <v>3.9951892496339028</v>
      </c>
    </row>
    <row r="22" spans="1:13" x14ac:dyDescent="0.35">
      <c r="A22" s="57">
        <v>18</v>
      </c>
      <c r="B22" s="122">
        <f t="shared" si="0"/>
        <v>1950</v>
      </c>
      <c r="C22" s="122">
        <f t="shared" si="5"/>
        <v>1852.5</v>
      </c>
      <c r="D22" s="122">
        <f t="shared" si="6"/>
        <v>45523.460251058343</v>
      </c>
      <c r="E22" s="122">
        <f t="shared" si="1"/>
        <v>47344.398661100677</v>
      </c>
      <c r="F22" s="123"/>
      <c r="G22" s="122">
        <f t="shared" si="2"/>
        <v>97.5</v>
      </c>
      <c r="H22" s="122">
        <f t="shared" si="7"/>
        <v>-70.012070959621227</v>
      </c>
      <c r="I22" s="122">
        <f t="shared" si="3"/>
        <v>0.54975858080757545</v>
      </c>
      <c r="J22" s="124">
        <f>'Q2 Mortality table'!H44*ProMM</f>
        <v>4.5199999999999615E-3</v>
      </c>
      <c r="K22" s="122">
        <f t="shared" si="4"/>
        <v>2655.6013388993233</v>
      </c>
      <c r="L22" s="122">
        <f t="shared" si="8"/>
        <v>-12.00331805182484</v>
      </c>
      <c r="M22" s="122">
        <f t="shared" si="9"/>
        <v>16.034369569361509</v>
      </c>
    </row>
    <row r="23" spans="1:13" x14ac:dyDescent="0.35">
      <c r="A23" s="57">
        <v>19</v>
      </c>
      <c r="B23" s="122">
        <f t="shared" si="0"/>
        <v>1950</v>
      </c>
      <c r="C23" s="122">
        <f t="shared" si="5"/>
        <v>1852.5</v>
      </c>
      <c r="D23" s="122">
        <f t="shared" si="6"/>
        <v>49196.898661100677</v>
      </c>
      <c r="E23" s="122">
        <f t="shared" si="1"/>
        <v>51164.774607544707</v>
      </c>
      <c r="F23" s="123"/>
      <c r="G23" s="122">
        <f t="shared" si="2"/>
        <v>97.5</v>
      </c>
      <c r="H23" s="122">
        <f t="shared" si="7"/>
        <v>-71.412312378813638</v>
      </c>
      <c r="I23" s="122">
        <f t="shared" si="3"/>
        <v>0.52175375242372724</v>
      </c>
      <c r="J23" s="124">
        <f>'Q2 Mortality table'!H45*ProMM</f>
        <v>5.0816000000000507E-3</v>
      </c>
      <c r="K23" s="122">
        <f t="shared" si="4"/>
        <v>0</v>
      </c>
      <c r="L23" s="122">
        <f t="shared" si="8"/>
        <v>0</v>
      </c>
      <c r="M23" s="122">
        <f t="shared" si="9"/>
        <v>26.609441373610089</v>
      </c>
    </row>
    <row r="24" spans="1:13" x14ac:dyDescent="0.35">
      <c r="A24" s="57">
        <v>20</v>
      </c>
      <c r="B24" s="122">
        <f t="shared" si="0"/>
        <v>1950</v>
      </c>
      <c r="C24" s="122">
        <f t="shared" si="5"/>
        <v>1852.5</v>
      </c>
      <c r="D24" s="122">
        <f t="shared" si="6"/>
        <v>53017.274607544707</v>
      </c>
      <c r="E24" s="122">
        <f t="shared" si="1"/>
        <v>55137.9655918465</v>
      </c>
      <c r="F24" s="123"/>
      <c r="G24" s="122">
        <f t="shared" si="2"/>
        <v>97.5</v>
      </c>
      <c r="H24" s="122">
        <f t="shared" si="7"/>
        <v>-72.840558626389907</v>
      </c>
      <c r="I24" s="122">
        <f t="shared" si="3"/>
        <v>0.49318882747220189</v>
      </c>
      <c r="J24" s="124">
        <f>'Q2 Mortality table'!H46*ProMM</f>
        <v>5.7120000000000859E-3</v>
      </c>
      <c r="K24" s="122">
        <f t="shared" si="4"/>
        <v>0</v>
      </c>
      <c r="L24" s="122">
        <f t="shared" si="8"/>
        <v>0</v>
      </c>
      <c r="M24" s="122">
        <f t="shared" si="9"/>
        <v>25.152630201082296</v>
      </c>
    </row>
    <row r="25" spans="1:13" x14ac:dyDescent="0.35">
      <c r="A25" s="57">
        <v>21</v>
      </c>
      <c r="B25" s="122">
        <f t="shared" si="0"/>
        <v>1950</v>
      </c>
      <c r="C25" s="122">
        <f t="shared" si="5"/>
        <v>1852.5</v>
      </c>
      <c r="D25" s="122">
        <f t="shared" si="6"/>
        <v>56990.4655918465</v>
      </c>
      <c r="E25" s="122">
        <f t="shared" si="1"/>
        <v>59270.084215520365</v>
      </c>
      <c r="F25" s="123"/>
      <c r="G25" s="122">
        <f t="shared" si="2"/>
        <v>97.5</v>
      </c>
      <c r="H25" s="122">
        <f t="shared" si="7"/>
        <v>-74.297369798917714</v>
      </c>
      <c r="I25" s="122">
        <f t="shared" si="3"/>
        <v>0.46405260402164572</v>
      </c>
      <c r="J25" s="124">
        <f>'Q2 Mortality table'!H47*ProMM</f>
        <v>6.4176000000000554E-3</v>
      </c>
      <c r="K25" s="122">
        <f t="shared" si="4"/>
        <v>0</v>
      </c>
      <c r="L25" s="122">
        <f t="shared" si="8"/>
        <v>0</v>
      </c>
      <c r="M25" s="122">
        <f t="shared" si="9"/>
        <v>23.666682805103932</v>
      </c>
    </row>
    <row r="26" spans="1:13" x14ac:dyDescent="0.35">
      <c r="A26" s="57">
        <v>22</v>
      </c>
      <c r="B26" s="122">
        <f t="shared" si="0"/>
        <v>1950</v>
      </c>
      <c r="C26" s="122">
        <f t="shared" si="5"/>
        <v>1852.5</v>
      </c>
      <c r="D26" s="122">
        <f t="shared" si="6"/>
        <v>61122.584215520365</v>
      </c>
      <c r="E26" s="122">
        <f t="shared" si="1"/>
        <v>63567.487584141178</v>
      </c>
      <c r="F26" s="123"/>
      <c r="G26" s="122">
        <f t="shared" si="2"/>
        <v>97.5</v>
      </c>
      <c r="H26" s="122">
        <f t="shared" si="7"/>
        <v>-75.783317194896057</v>
      </c>
      <c r="I26" s="122">
        <f t="shared" si="3"/>
        <v>0.43433365610207886</v>
      </c>
      <c r="J26" s="124">
        <f>'Q2 Mortality table'!H48*ProMM</f>
        <v>7.2072000000001071E-3</v>
      </c>
      <c r="K26" s="122">
        <f t="shared" si="4"/>
        <v>0</v>
      </c>
      <c r="L26" s="122">
        <f t="shared" si="8"/>
        <v>0</v>
      </c>
      <c r="M26" s="122">
        <f t="shared" si="9"/>
        <v>22.151016461206023</v>
      </c>
    </row>
    <row r="27" spans="1:13" x14ac:dyDescent="0.35">
      <c r="A27" s="57">
        <v>23</v>
      </c>
      <c r="B27" s="122">
        <f t="shared" si="0"/>
        <v>1950</v>
      </c>
      <c r="C27" s="122">
        <f t="shared" si="5"/>
        <v>1852.5</v>
      </c>
      <c r="D27" s="122">
        <f t="shared" si="6"/>
        <v>65419.987584141178</v>
      </c>
      <c r="E27" s="122">
        <f t="shared" si="1"/>
        <v>68036.787087506833</v>
      </c>
      <c r="F27" s="123"/>
      <c r="G27" s="122">
        <f t="shared" si="2"/>
        <v>97.5</v>
      </c>
      <c r="H27" s="122">
        <f t="shared" si="7"/>
        <v>-77.298983538793991</v>
      </c>
      <c r="I27" s="122">
        <f t="shared" si="3"/>
        <v>0.40402032922412018</v>
      </c>
      <c r="J27" s="124">
        <f>'Q2 Mortality table'!H49*ProMM</f>
        <v>8.0895999999999416E-3</v>
      </c>
      <c r="K27" s="122">
        <f t="shared" si="4"/>
        <v>0</v>
      </c>
      <c r="L27" s="122">
        <f t="shared" si="8"/>
        <v>0</v>
      </c>
      <c r="M27" s="122">
        <f t="shared" si="9"/>
        <v>20.60503679043013</v>
      </c>
    </row>
    <row r="28" spans="1:13" x14ac:dyDescent="0.35">
      <c r="A28" s="57">
        <v>24</v>
      </c>
      <c r="B28" s="122">
        <f t="shared" si="0"/>
        <v>1950</v>
      </c>
      <c r="C28" s="122">
        <f t="shared" si="5"/>
        <v>1852.5</v>
      </c>
      <c r="D28" s="122">
        <f t="shared" si="6"/>
        <v>69889.287087506833</v>
      </c>
      <c r="E28" s="122">
        <f t="shared" si="1"/>
        <v>72684.858571007106</v>
      </c>
      <c r="F28" s="123"/>
      <c r="G28" s="122">
        <f t="shared" si="2"/>
        <v>97.5</v>
      </c>
      <c r="H28" s="122">
        <f t="shared" si="7"/>
        <v>-78.844963209569855</v>
      </c>
      <c r="I28" s="122">
        <f t="shared" si="3"/>
        <v>0.37310073580860292</v>
      </c>
      <c r="J28" s="124">
        <f>'Q2 Mortality table'!H50*ProMM</f>
        <v>9.075200000000009E-3</v>
      </c>
      <c r="K28" s="122">
        <f t="shared" si="4"/>
        <v>0</v>
      </c>
      <c r="L28" s="122">
        <f t="shared" si="8"/>
        <v>0</v>
      </c>
      <c r="M28" s="122">
        <f t="shared" si="9"/>
        <v>19.028137526238748</v>
      </c>
    </row>
    <row r="29" spans="1:13" x14ac:dyDescent="0.35">
      <c r="A29" s="57">
        <v>25</v>
      </c>
      <c r="B29" s="122">
        <f t="shared" si="0"/>
        <v>1950</v>
      </c>
      <c r="C29" s="122">
        <f t="shared" si="5"/>
        <v>1852.5</v>
      </c>
      <c r="D29" s="122">
        <f t="shared" si="6"/>
        <v>74537.358571007106</v>
      </c>
      <c r="E29" s="122">
        <f t="shared" si="1"/>
        <v>77518.852913847397</v>
      </c>
      <c r="F29" s="123"/>
      <c r="G29" s="122">
        <f t="shared" si="2"/>
        <v>97.5</v>
      </c>
      <c r="H29" s="122">
        <f t="shared" si="7"/>
        <v>-80.421862473761252</v>
      </c>
      <c r="I29" s="122">
        <f t="shared" si="3"/>
        <v>0.34156275052477497</v>
      </c>
      <c r="J29" s="124">
        <f>'Q2 Mortality table'!H51*ProMM</f>
        <v>1.0172799999999897E-2</v>
      </c>
      <c r="K29" s="122">
        <f t="shared" si="4"/>
        <v>0</v>
      </c>
      <c r="L29" s="122">
        <f t="shared" si="8"/>
        <v>0</v>
      </c>
      <c r="M29" s="122">
        <f t="shared" si="9"/>
        <v>17.419700276763525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9"/>
  <sheetViews>
    <sheetView zoomScaleNormal="100" workbookViewId="0">
      <selection activeCell="A4" sqref="A4"/>
    </sheetView>
  </sheetViews>
  <sheetFormatPr defaultColWidth="11.81640625" defaultRowHeight="14.5" x14ac:dyDescent="0.35"/>
  <cols>
    <col min="2" max="2" width="20.1796875" customWidth="1"/>
    <col min="3" max="3" width="19.08984375" customWidth="1"/>
  </cols>
  <sheetData>
    <row r="1" spans="1:3" s="28" customFormat="1" ht="21" x14ac:dyDescent="0.5">
      <c r="A1" s="23" t="s">
        <v>139</v>
      </c>
    </row>
    <row r="3" spans="1:3" x14ac:dyDescent="0.35">
      <c r="B3" s="60" t="s">
        <v>140</v>
      </c>
      <c r="C3" s="59" t="s">
        <v>140</v>
      </c>
    </row>
    <row r="4" spans="1:3" x14ac:dyDescent="0.35">
      <c r="A4" s="57" t="s">
        <v>67</v>
      </c>
      <c r="B4" s="129" t="s">
        <v>141</v>
      </c>
      <c r="C4" s="62" t="s">
        <v>142</v>
      </c>
    </row>
    <row r="5" spans="1:3" x14ac:dyDescent="0.35">
      <c r="A5" s="57">
        <v>1</v>
      </c>
      <c r="B5" s="130"/>
      <c r="C5" s="84"/>
    </row>
    <row r="6" spans="1:3" x14ac:dyDescent="0.35">
      <c r="A6" s="57">
        <v>2</v>
      </c>
      <c r="B6" s="130"/>
      <c r="C6" s="84"/>
    </row>
    <row r="7" spans="1:3" x14ac:dyDescent="0.35">
      <c r="A7" s="57">
        <v>3</v>
      </c>
      <c r="B7" s="130"/>
      <c r="C7" s="84"/>
    </row>
    <row r="8" spans="1:3" x14ac:dyDescent="0.35">
      <c r="A8" s="57">
        <v>4</v>
      </c>
      <c r="B8" s="130"/>
      <c r="C8" s="84"/>
    </row>
    <row r="9" spans="1:3" x14ac:dyDescent="0.35">
      <c r="A9" s="57">
        <v>5</v>
      </c>
      <c r="B9" s="130"/>
      <c r="C9" s="84"/>
    </row>
    <row r="10" spans="1:3" x14ac:dyDescent="0.35">
      <c r="A10" s="57">
        <v>6</v>
      </c>
      <c r="B10" s="130"/>
      <c r="C10" s="84"/>
    </row>
    <row r="11" spans="1:3" x14ac:dyDescent="0.35">
      <c r="A11" s="57">
        <v>7</v>
      </c>
      <c r="B11" s="130"/>
      <c r="C11" s="84"/>
    </row>
    <row r="12" spans="1:3" x14ac:dyDescent="0.35">
      <c r="A12" s="57">
        <v>8</v>
      </c>
      <c r="B12" s="130"/>
      <c r="C12" s="84"/>
    </row>
    <row r="13" spans="1:3" x14ac:dyDescent="0.35">
      <c r="A13" s="57">
        <v>9</v>
      </c>
      <c r="B13" s="130"/>
      <c r="C13" s="84"/>
    </row>
    <row r="14" spans="1:3" x14ac:dyDescent="0.35">
      <c r="A14" s="57">
        <v>10</v>
      </c>
      <c r="B14" s="130"/>
      <c r="C14" s="84"/>
    </row>
    <row r="15" spans="1:3" x14ac:dyDescent="0.35">
      <c r="A15" s="57">
        <v>11</v>
      </c>
      <c r="B15" s="130"/>
      <c r="C15" s="84"/>
    </row>
    <row r="16" spans="1:3" x14ac:dyDescent="0.35">
      <c r="A16" s="57">
        <v>12</v>
      </c>
      <c r="B16" s="130"/>
      <c r="C16" s="84"/>
    </row>
    <row r="17" spans="1:3" x14ac:dyDescent="0.35">
      <c r="A17" s="57">
        <v>13</v>
      </c>
      <c r="B17" s="130"/>
      <c r="C17" s="84"/>
    </row>
    <row r="18" spans="1:3" x14ac:dyDescent="0.35">
      <c r="A18" s="57">
        <v>14</v>
      </c>
      <c r="B18" s="130"/>
      <c r="C18" s="84"/>
    </row>
    <row r="19" spans="1:3" x14ac:dyDescent="0.35">
      <c r="A19" s="57">
        <v>15</v>
      </c>
      <c r="B19" s="130"/>
      <c r="C19" s="84"/>
    </row>
    <row r="20" spans="1:3" x14ac:dyDescent="0.35">
      <c r="A20" s="57">
        <v>16</v>
      </c>
      <c r="B20" s="130"/>
      <c r="C20" s="84"/>
    </row>
    <row r="21" spans="1:3" x14ac:dyDescent="0.35">
      <c r="A21" s="57">
        <v>17</v>
      </c>
      <c r="B21" s="130"/>
      <c r="C21" s="84"/>
    </row>
    <row r="22" spans="1:3" x14ac:dyDescent="0.35">
      <c r="A22" s="57">
        <v>18</v>
      </c>
      <c r="B22" s="130"/>
      <c r="C22" s="84"/>
    </row>
    <row r="23" spans="1:3" x14ac:dyDescent="0.35">
      <c r="A23" s="57">
        <v>19</v>
      </c>
      <c r="B23" s="130"/>
      <c r="C23" s="84"/>
    </row>
    <row r="24" spans="1:3" x14ac:dyDescent="0.35">
      <c r="A24" s="57">
        <v>20</v>
      </c>
      <c r="B24" s="130"/>
      <c r="C24" s="84"/>
    </row>
    <row r="25" spans="1:3" x14ac:dyDescent="0.35">
      <c r="A25" s="57">
        <v>21</v>
      </c>
      <c r="B25" s="130"/>
      <c r="C25" s="84"/>
    </row>
    <row r="26" spans="1:3" x14ac:dyDescent="0.35">
      <c r="A26" s="57">
        <v>22</v>
      </c>
      <c r="B26" s="130"/>
      <c r="C26" s="84"/>
    </row>
    <row r="27" spans="1:3" x14ac:dyDescent="0.35">
      <c r="A27" s="57">
        <v>23</v>
      </c>
      <c r="B27" s="130"/>
      <c r="C27" s="84"/>
    </row>
    <row r="28" spans="1:3" x14ac:dyDescent="0.35">
      <c r="A28" s="57">
        <v>24</v>
      </c>
      <c r="B28" s="130"/>
      <c r="C28" s="84"/>
    </row>
    <row r="29" spans="1:3" x14ac:dyDescent="0.35">
      <c r="A29" s="57">
        <v>25</v>
      </c>
      <c r="B29" s="130"/>
      <c r="C29" s="8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workbookViewId="0">
      <selection activeCell="A4" sqref="A4"/>
    </sheetView>
  </sheetViews>
  <sheetFormatPr defaultColWidth="11.453125" defaultRowHeight="14.5" x14ac:dyDescent="0.35"/>
  <sheetData>
    <row r="1" spans="1:1" s="28" customFormat="1" ht="21" x14ac:dyDescent="0.5">
      <c r="A1" s="23" t="s">
        <v>143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9"/>
  <sheetViews>
    <sheetView workbookViewId="0">
      <selection activeCell="A4" sqref="A4"/>
    </sheetView>
  </sheetViews>
  <sheetFormatPr defaultColWidth="12.54296875" defaultRowHeight="14.5" x14ac:dyDescent="0.35"/>
  <cols>
    <col min="6" max="6" width="1.453125" customWidth="1"/>
  </cols>
  <sheetData>
    <row r="1" spans="1:13" s="28" customFormat="1" ht="21" x14ac:dyDescent="0.5">
      <c r="A1" s="23" t="s">
        <v>144</v>
      </c>
    </row>
    <row r="2" spans="1:13" x14ac:dyDescent="0.35">
      <c r="B2" s="116" t="s">
        <v>125</v>
      </c>
      <c r="C2" s="117"/>
      <c r="G2" s="116" t="s">
        <v>126</v>
      </c>
      <c r="H2" s="118"/>
      <c r="I2" s="117"/>
      <c r="J2" s="119"/>
    </row>
    <row r="3" spans="1:13" x14ac:dyDescent="0.35">
      <c r="A3" s="59"/>
      <c r="B3" s="59"/>
      <c r="C3" s="59" t="s">
        <v>127</v>
      </c>
      <c r="D3" s="59" t="s">
        <v>128</v>
      </c>
      <c r="E3" s="59" t="s">
        <v>128</v>
      </c>
      <c r="F3" s="64"/>
      <c r="G3" s="59" t="s">
        <v>129</v>
      </c>
      <c r="H3" s="59"/>
      <c r="I3" s="59"/>
      <c r="J3" s="120" t="s">
        <v>68</v>
      </c>
      <c r="K3" s="59" t="s">
        <v>130</v>
      </c>
      <c r="L3" s="59" t="s">
        <v>78</v>
      </c>
      <c r="M3" s="59" t="s">
        <v>131</v>
      </c>
    </row>
    <row r="4" spans="1:13" x14ac:dyDescent="0.35">
      <c r="A4" s="62" t="s">
        <v>67</v>
      </c>
      <c r="B4" s="62" t="s">
        <v>72</v>
      </c>
      <c r="C4" s="62" t="s">
        <v>132</v>
      </c>
      <c r="D4" s="62" t="s">
        <v>133</v>
      </c>
      <c r="E4" s="62" t="s">
        <v>134</v>
      </c>
      <c r="F4" s="62"/>
      <c r="G4" s="62" t="s">
        <v>135</v>
      </c>
      <c r="H4" s="62" t="s">
        <v>73</v>
      </c>
      <c r="I4" s="62" t="s">
        <v>75</v>
      </c>
      <c r="J4" s="121" t="s">
        <v>84</v>
      </c>
      <c r="K4" s="62" t="s">
        <v>136</v>
      </c>
      <c r="L4" s="62" t="s">
        <v>137</v>
      </c>
      <c r="M4" s="62" t="s">
        <v>91</v>
      </c>
    </row>
    <row r="5" spans="1:13" x14ac:dyDescent="0.35">
      <c r="A5" s="57">
        <v>1</v>
      </c>
      <c r="B5" s="122">
        <f t="shared" ref="B5:B29" si="0">P</f>
        <v>1950</v>
      </c>
      <c r="C5" s="122">
        <f>B5*A*(1-BO)</f>
        <v>833.625</v>
      </c>
      <c r="D5" s="122">
        <f>C5</f>
        <v>833.625</v>
      </c>
      <c r="E5" s="122">
        <f t="shared" ref="E5:E29" si="1">D5*(1+ResUG)</f>
        <v>858.63375000000008</v>
      </c>
      <c r="F5" s="123"/>
      <c r="G5" s="122">
        <f t="shared" ref="G5:G29" si="2">B5-C5</f>
        <v>1116.375</v>
      </c>
      <c r="H5" s="122">
        <f>-ResIE</f>
        <v>-1000</v>
      </c>
      <c r="I5" s="122">
        <f t="shared" ref="I5:I29" si="3">(G5+H5)*ResINT</f>
        <v>1.745625</v>
      </c>
      <c r="J5" s="124">
        <f>'Q2 Mortality table'!H27</f>
        <v>9.3699999999987576E-4</v>
      </c>
      <c r="K5" s="122">
        <f t="shared" ref="K5:K29" si="4">MAX(D-E5,0)</f>
        <v>49141.366249999999</v>
      </c>
      <c r="L5" s="122">
        <f>-J5*K5</f>
        <v>-46.045460176243893</v>
      </c>
      <c r="M5" s="122">
        <f>G5+H5+I5+L5</f>
        <v>72.075164823756111</v>
      </c>
    </row>
    <row r="6" spans="1:13" x14ac:dyDescent="0.35">
      <c r="A6" s="57">
        <v>2</v>
      </c>
      <c r="B6" s="122">
        <f t="shared" si="0"/>
        <v>1950</v>
      </c>
      <c r="C6" s="122">
        <f t="shared" ref="C6:C29" si="5">B6*(1-BO)</f>
        <v>1852.5</v>
      </c>
      <c r="D6" s="122">
        <f t="shared" ref="D6:D29" si="6">C6+E5</f>
        <v>2711.13375</v>
      </c>
      <c r="E6" s="122">
        <f t="shared" si="1"/>
        <v>2792.4677624999999</v>
      </c>
      <c r="F6" s="123"/>
      <c r="G6" s="122">
        <f t="shared" si="2"/>
        <v>97.5</v>
      </c>
      <c r="H6" s="122">
        <f t="shared" ref="H6:H29" si="7">-ResRE*(1+ResINF)^A5</f>
        <v>-51.5</v>
      </c>
      <c r="I6" s="122">
        <f t="shared" si="3"/>
        <v>0.69</v>
      </c>
      <c r="J6" s="124">
        <f>'Q2 Mortality table'!H28</f>
        <v>1.0139999999998718E-3</v>
      </c>
      <c r="K6" s="122">
        <f t="shared" si="4"/>
        <v>47207.532237500003</v>
      </c>
      <c r="L6" s="122">
        <f t="shared" ref="L6:L29" si="8">-J6*K6</f>
        <v>-47.86843768881895</v>
      </c>
      <c r="M6" s="122">
        <f t="shared" ref="M6:M29" si="9">G6+H6+I6+L6</f>
        <v>-1.1784376888189527</v>
      </c>
    </row>
    <row r="7" spans="1:13" x14ac:dyDescent="0.35">
      <c r="A7" s="57">
        <v>3</v>
      </c>
      <c r="B7" s="122">
        <f t="shared" si="0"/>
        <v>1950</v>
      </c>
      <c r="C7" s="122">
        <f t="shared" si="5"/>
        <v>1852.5</v>
      </c>
      <c r="D7" s="122">
        <f t="shared" si="6"/>
        <v>4644.9677625000004</v>
      </c>
      <c r="E7" s="122">
        <f t="shared" si="1"/>
        <v>4784.3167953750008</v>
      </c>
      <c r="F7" s="123"/>
      <c r="G7" s="122">
        <f t="shared" si="2"/>
        <v>97.5</v>
      </c>
      <c r="H7" s="122">
        <f t="shared" si="7"/>
        <v>-53.044999999999995</v>
      </c>
      <c r="I7" s="122">
        <f t="shared" si="3"/>
        <v>0.666825</v>
      </c>
      <c r="J7" s="124">
        <f>'Q2 Mortality table'!H29</f>
        <v>1.1040000000000186E-3</v>
      </c>
      <c r="K7" s="122">
        <f t="shared" si="4"/>
        <v>45215.683204624998</v>
      </c>
      <c r="L7" s="122">
        <f t="shared" si="8"/>
        <v>-49.918114257906836</v>
      </c>
      <c r="M7" s="122">
        <f t="shared" si="9"/>
        <v>-4.7962892579068281</v>
      </c>
    </row>
    <row r="8" spans="1:13" x14ac:dyDescent="0.35">
      <c r="A8" s="57">
        <v>4</v>
      </c>
      <c r="B8" s="122">
        <f t="shared" si="0"/>
        <v>1950</v>
      </c>
      <c r="C8" s="122">
        <f t="shared" si="5"/>
        <v>1852.5</v>
      </c>
      <c r="D8" s="122">
        <f t="shared" si="6"/>
        <v>6636.8167953750008</v>
      </c>
      <c r="E8" s="122">
        <f t="shared" si="1"/>
        <v>6835.9212992362509</v>
      </c>
      <c r="F8" s="123"/>
      <c r="G8" s="122">
        <f t="shared" si="2"/>
        <v>97.5</v>
      </c>
      <c r="H8" s="122">
        <f t="shared" si="7"/>
        <v>-54.63635</v>
      </c>
      <c r="I8" s="122">
        <f t="shared" si="3"/>
        <v>0.64295475000000002</v>
      </c>
      <c r="J8" s="124">
        <f>'Q2 Mortality table'!H30</f>
        <v>1.2079999999999012E-3</v>
      </c>
      <c r="K8" s="122">
        <f t="shared" si="4"/>
        <v>43164.078700763748</v>
      </c>
      <c r="L8" s="122">
        <f t="shared" si="8"/>
        <v>-52.142207070518346</v>
      </c>
      <c r="M8" s="122">
        <f t="shared" si="9"/>
        <v>-8.6356023205183448</v>
      </c>
    </row>
    <row r="9" spans="1:13" x14ac:dyDescent="0.35">
      <c r="A9" s="57">
        <v>5</v>
      </c>
      <c r="B9" s="122">
        <f t="shared" si="0"/>
        <v>1950</v>
      </c>
      <c r="C9" s="122">
        <f t="shared" si="5"/>
        <v>1852.5</v>
      </c>
      <c r="D9" s="122">
        <f t="shared" si="6"/>
        <v>8688.4212992362518</v>
      </c>
      <c r="E9" s="122">
        <f t="shared" si="1"/>
        <v>8949.0739382133397</v>
      </c>
      <c r="F9" s="123"/>
      <c r="G9" s="122">
        <f t="shared" si="2"/>
        <v>97.5</v>
      </c>
      <c r="H9" s="122">
        <f t="shared" si="7"/>
        <v>-56.275440499999995</v>
      </c>
      <c r="I9" s="122">
        <f t="shared" si="3"/>
        <v>0.61836839250000009</v>
      </c>
      <c r="J9" s="124">
        <f>'Q2 Mortality table'!H31</f>
        <v>1.3270000000000194E-3</v>
      </c>
      <c r="K9" s="122">
        <f t="shared" si="4"/>
        <v>41050.92606178666</v>
      </c>
      <c r="L9" s="122">
        <f t="shared" si="8"/>
        <v>-54.47457888399169</v>
      </c>
      <c r="M9" s="122">
        <f t="shared" si="9"/>
        <v>-12.631650991491682</v>
      </c>
    </row>
    <row r="10" spans="1:13" x14ac:dyDescent="0.35">
      <c r="A10" s="57">
        <v>6</v>
      </c>
      <c r="B10" s="122">
        <f t="shared" si="0"/>
        <v>1950</v>
      </c>
      <c r="C10" s="122">
        <f t="shared" si="5"/>
        <v>1852.5</v>
      </c>
      <c r="D10" s="122">
        <f t="shared" si="6"/>
        <v>10801.57393821334</v>
      </c>
      <c r="E10" s="122">
        <f t="shared" si="1"/>
        <v>11125.621156359741</v>
      </c>
      <c r="F10" s="123"/>
      <c r="G10" s="122">
        <f t="shared" si="2"/>
        <v>97.5</v>
      </c>
      <c r="H10" s="122">
        <f t="shared" si="7"/>
        <v>-57.963703714999994</v>
      </c>
      <c r="I10" s="122">
        <f t="shared" si="3"/>
        <v>0.59304444427500003</v>
      </c>
      <c r="J10" s="124">
        <f>'Q2 Mortality table'!H32</f>
        <v>1.4649999999999626E-3</v>
      </c>
      <c r="K10" s="122">
        <f t="shared" si="4"/>
        <v>38874.378843640261</v>
      </c>
      <c r="L10" s="122">
        <f t="shared" si="8"/>
        <v>-56.950965005931529</v>
      </c>
      <c r="M10" s="122">
        <f t="shared" si="9"/>
        <v>-16.821624276656522</v>
      </c>
    </row>
    <row r="11" spans="1:13" x14ac:dyDescent="0.35">
      <c r="A11" s="57">
        <v>7</v>
      </c>
      <c r="B11" s="122">
        <f t="shared" si="0"/>
        <v>1950</v>
      </c>
      <c r="C11" s="122">
        <f t="shared" si="5"/>
        <v>1852.5</v>
      </c>
      <c r="D11" s="122">
        <f t="shared" si="6"/>
        <v>12978.121156359741</v>
      </c>
      <c r="E11" s="122">
        <f t="shared" si="1"/>
        <v>13367.464791050534</v>
      </c>
      <c r="F11" s="123"/>
      <c r="G11" s="122">
        <f t="shared" si="2"/>
        <v>97.5</v>
      </c>
      <c r="H11" s="122">
        <f t="shared" si="7"/>
        <v>-59.702614826449995</v>
      </c>
      <c r="I11" s="122">
        <f t="shared" si="3"/>
        <v>0.56696077760325003</v>
      </c>
      <c r="J11" s="124">
        <f>'Q2 Mortality table'!H33</f>
        <v>1.6220000000000613E-3</v>
      </c>
      <c r="K11" s="122">
        <f t="shared" si="4"/>
        <v>36632.53520894947</v>
      </c>
      <c r="L11" s="122">
        <f t="shared" si="8"/>
        <v>-59.417972108918285</v>
      </c>
      <c r="M11" s="122">
        <f t="shared" si="9"/>
        <v>-21.053626157765031</v>
      </c>
    </row>
    <row r="12" spans="1:13" x14ac:dyDescent="0.35">
      <c r="A12" s="57">
        <v>8</v>
      </c>
      <c r="B12" s="122">
        <f t="shared" si="0"/>
        <v>1950</v>
      </c>
      <c r="C12" s="122">
        <f t="shared" si="5"/>
        <v>1852.5</v>
      </c>
      <c r="D12" s="122">
        <f t="shared" si="6"/>
        <v>15219.964791050534</v>
      </c>
      <c r="E12" s="122">
        <f t="shared" si="1"/>
        <v>15676.56373478205</v>
      </c>
      <c r="F12" s="123"/>
      <c r="G12" s="122">
        <f t="shared" si="2"/>
        <v>97.5</v>
      </c>
      <c r="H12" s="122">
        <f t="shared" si="7"/>
        <v>-61.493693271243501</v>
      </c>
      <c r="I12" s="122">
        <f t="shared" si="3"/>
        <v>0.54009460093134742</v>
      </c>
      <c r="J12" s="124">
        <f>'Q2 Mortality table'!H34</f>
        <v>1.8019999999999542E-3</v>
      </c>
      <c r="K12" s="122">
        <f t="shared" si="4"/>
        <v>34323.436265217948</v>
      </c>
      <c r="L12" s="122">
        <f t="shared" si="8"/>
        <v>-61.850832149921175</v>
      </c>
      <c r="M12" s="122">
        <f t="shared" si="9"/>
        <v>-25.304430820233328</v>
      </c>
    </row>
    <row r="13" spans="1:13" x14ac:dyDescent="0.35">
      <c r="A13" s="57">
        <v>9</v>
      </c>
      <c r="B13" s="122">
        <f t="shared" si="0"/>
        <v>1950</v>
      </c>
      <c r="C13" s="122">
        <f t="shared" si="5"/>
        <v>1852.5</v>
      </c>
      <c r="D13" s="122">
        <f t="shared" si="6"/>
        <v>17529.063734782052</v>
      </c>
      <c r="E13" s="122">
        <f t="shared" si="1"/>
        <v>18054.935646825514</v>
      </c>
      <c r="F13" s="123"/>
      <c r="G13" s="122">
        <f t="shared" si="2"/>
        <v>97.5</v>
      </c>
      <c r="H13" s="122">
        <f t="shared" si="7"/>
        <v>-63.338504069380797</v>
      </c>
      <c r="I13" s="122">
        <f t="shared" si="3"/>
        <v>0.51242243895928807</v>
      </c>
      <c r="J13" s="124">
        <f>'Q2 Mortality table'!H35</f>
        <v>2.0079999999999599E-3</v>
      </c>
      <c r="K13" s="122">
        <f t="shared" si="4"/>
        <v>31945.064353174486</v>
      </c>
      <c r="L13" s="122">
        <f t="shared" si="8"/>
        <v>-64.145689221173086</v>
      </c>
      <c r="M13" s="122">
        <f t="shared" si="9"/>
        <v>-29.471770851594592</v>
      </c>
    </row>
    <row r="14" spans="1:13" x14ac:dyDescent="0.35">
      <c r="A14" s="57">
        <v>10</v>
      </c>
      <c r="B14" s="122">
        <f t="shared" si="0"/>
        <v>1950</v>
      </c>
      <c r="C14" s="122">
        <f t="shared" si="5"/>
        <v>1852.5</v>
      </c>
      <c r="D14" s="122">
        <f t="shared" si="6"/>
        <v>19907.435646825514</v>
      </c>
      <c r="E14" s="122">
        <f t="shared" si="1"/>
        <v>20504.658716230279</v>
      </c>
      <c r="F14" s="123"/>
      <c r="G14" s="122">
        <f t="shared" si="2"/>
        <v>97.5</v>
      </c>
      <c r="H14" s="122">
        <f t="shared" si="7"/>
        <v>-65.238659191462219</v>
      </c>
      <c r="I14" s="122">
        <f t="shared" si="3"/>
        <v>0.48392011212806668</v>
      </c>
      <c r="J14" s="124">
        <f>'Q2 Mortality table'!H36</f>
        <v>2.2410000000001075E-3</v>
      </c>
      <c r="K14" s="122">
        <f t="shared" si="4"/>
        <v>29495.341283769721</v>
      </c>
      <c r="L14" s="122">
        <f t="shared" si="8"/>
        <v>-66.099059816931117</v>
      </c>
      <c r="M14" s="122">
        <f t="shared" si="9"/>
        <v>-33.353798896265268</v>
      </c>
    </row>
    <row r="15" spans="1:13" x14ac:dyDescent="0.35">
      <c r="A15" s="57">
        <v>11</v>
      </c>
      <c r="B15" s="122">
        <f t="shared" si="0"/>
        <v>1950</v>
      </c>
      <c r="C15" s="122">
        <f t="shared" si="5"/>
        <v>1852.5</v>
      </c>
      <c r="D15" s="122">
        <f t="shared" si="6"/>
        <v>22357.158716230279</v>
      </c>
      <c r="E15" s="122">
        <f t="shared" si="1"/>
        <v>23027.873477717189</v>
      </c>
      <c r="F15" s="123"/>
      <c r="G15" s="122">
        <f t="shared" si="2"/>
        <v>97.5</v>
      </c>
      <c r="H15" s="122">
        <f t="shared" si="7"/>
        <v>-67.195818967206094</v>
      </c>
      <c r="I15" s="122">
        <f t="shared" si="3"/>
        <v>0.45456271549190858</v>
      </c>
      <c r="J15" s="124">
        <f>'Q2 Mortality table'!H37</f>
        <v>2.5079999999998615E-3</v>
      </c>
      <c r="K15" s="122">
        <f t="shared" si="4"/>
        <v>26972.126522282811</v>
      </c>
      <c r="L15" s="122">
        <f t="shared" si="8"/>
        <v>-67.646093317881551</v>
      </c>
      <c r="M15" s="122">
        <f t="shared" si="9"/>
        <v>-36.887349569595735</v>
      </c>
    </row>
    <row r="16" spans="1:13" x14ac:dyDescent="0.35">
      <c r="A16" s="57">
        <v>12</v>
      </c>
      <c r="B16" s="122">
        <f t="shared" si="0"/>
        <v>1950</v>
      </c>
      <c r="C16" s="122">
        <f t="shared" si="5"/>
        <v>1852.5</v>
      </c>
      <c r="D16" s="122">
        <f t="shared" si="6"/>
        <v>24880.373477717189</v>
      </c>
      <c r="E16" s="122">
        <f t="shared" si="1"/>
        <v>25626.784682048707</v>
      </c>
      <c r="F16" s="123"/>
      <c r="G16" s="122">
        <f t="shared" si="2"/>
        <v>97.5</v>
      </c>
      <c r="H16" s="122">
        <f t="shared" si="7"/>
        <v>-69.21169353622227</v>
      </c>
      <c r="I16" s="122">
        <f t="shared" si="3"/>
        <v>0.42432459695666591</v>
      </c>
      <c r="J16" s="124">
        <f>'Q2 Mortality table'!H38</f>
        <v>2.8089999999999665E-3</v>
      </c>
      <c r="K16" s="122">
        <f t="shared" si="4"/>
        <v>24373.215317951293</v>
      </c>
      <c r="L16" s="122">
        <f t="shared" si="8"/>
        <v>-68.464361828124368</v>
      </c>
      <c r="M16" s="122">
        <f t="shared" si="9"/>
        <v>-39.751730767389972</v>
      </c>
    </row>
    <row r="17" spans="1:13" x14ac:dyDescent="0.35">
      <c r="A17" s="57">
        <v>13</v>
      </c>
      <c r="B17" s="122">
        <f t="shared" si="0"/>
        <v>1950</v>
      </c>
      <c r="C17" s="122">
        <f t="shared" si="5"/>
        <v>1852.5</v>
      </c>
      <c r="D17" s="122">
        <f t="shared" si="6"/>
        <v>27479.284682048707</v>
      </c>
      <c r="E17" s="122">
        <f t="shared" si="1"/>
        <v>28303.663222510168</v>
      </c>
      <c r="F17" s="123"/>
      <c r="G17" s="122">
        <f t="shared" si="2"/>
        <v>97.5</v>
      </c>
      <c r="H17" s="122">
        <f t="shared" si="7"/>
        <v>-71.288044342308936</v>
      </c>
      <c r="I17" s="122">
        <f t="shared" si="3"/>
        <v>0.39317933486536594</v>
      </c>
      <c r="J17" s="124">
        <f>'Q2 Mortality table'!H39</f>
        <v>3.1519999999999829E-3</v>
      </c>
      <c r="K17" s="122">
        <f t="shared" si="4"/>
        <v>21696.336777489832</v>
      </c>
      <c r="L17" s="122">
        <f t="shared" si="8"/>
        <v>-68.386853522647584</v>
      </c>
      <c r="M17" s="122">
        <f t="shared" si="9"/>
        <v>-41.781718530091155</v>
      </c>
    </row>
    <row r="18" spans="1:13" x14ac:dyDescent="0.35">
      <c r="A18" s="57">
        <v>14</v>
      </c>
      <c r="B18" s="122">
        <f t="shared" si="0"/>
        <v>1950</v>
      </c>
      <c r="C18" s="122">
        <f t="shared" si="5"/>
        <v>1852.5</v>
      </c>
      <c r="D18" s="122">
        <f t="shared" si="6"/>
        <v>30156.163222510168</v>
      </c>
      <c r="E18" s="122">
        <f t="shared" si="1"/>
        <v>31060.848119185473</v>
      </c>
      <c r="F18" s="123"/>
      <c r="G18" s="122">
        <f t="shared" si="2"/>
        <v>97.5</v>
      </c>
      <c r="H18" s="122">
        <f t="shared" si="7"/>
        <v>-73.426685672578202</v>
      </c>
      <c r="I18" s="122">
        <f t="shared" si="3"/>
        <v>0.36109971491132697</v>
      </c>
      <c r="J18" s="124">
        <f>'Q2 Mortality table'!H40</f>
        <v>3.5389999999999042E-3</v>
      </c>
      <c r="K18" s="122">
        <f t="shared" si="4"/>
        <v>18939.151880814527</v>
      </c>
      <c r="L18" s="122">
        <f t="shared" si="8"/>
        <v>-67.025658506200799</v>
      </c>
      <c r="M18" s="122">
        <f t="shared" si="9"/>
        <v>-42.591244463867675</v>
      </c>
    </row>
    <row r="19" spans="1:13" x14ac:dyDescent="0.35">
      <c r="A19" s="57">
        <v>15</v>
      </c>
      <c r="B19" s="122">
        <f t="shared" si="0"/>
        <v>1950</v>
      </c>
      <c r="C19" s="122">
        <f t="shared" si="5"/>
        <v>1852.5</v>
      </c>
      <c r="D19" s="122">
        <f t="shared" si="6"/>
        <v>32913.348119185473</v>
      </c>
      <c r="E19" s="122">
        <f t="shared" si="1"/>
        <v>33900.748562761037</v>
      </c>
      <c r="F19" s="123"/>
      <c r="G19" s="122">
        <f t="shared" si="2"/>
        <v>97.5</v>
      </c>
      <c r="H19" s="122">
        <f t="shared" si="7"/>
        <v>-75.629486242755547</v>
      </c>
      <c r="I19" s="122">
        <f t="shared" si="3"/>
        <v>0.32805770635866677</v>
      </c>
      <c r="J19" s="124">
        <f>'Q2 Mortality table'!H41</f>
        <v>3.9760000000000177E-3</v>
      </c>
      <c r="K19" s="122">
        <f t="shared" si="4"/>
        <v>16099.251437238963</v>
      </c>
      <c r="L19" s="122">
        <f t="shared" si="8"/>
        <v>-64.010623714462398</v>
      </c>
      <c r="M19" s="122">
        <f t="shared" si="9"/>
        <v>-41.812052250859281</v>
      </c>
    </row>
    <row r="20" spans="1:13" x14ac:dyDescent="0.35">
      <c r="A20" s="57">
        <v>16</v>
      </c>
      <c r="B20" s="122">
        <f t="shared" si="0"/>
        <v>1950</v>
      </c>
      <c r="C20" s="122">
        <f t="shared" si="5"/>
        <v>1852.5</v>
      </c>
      <c r="D20" s="122">
        <f t="shared" si="6"/>
        <v>35753.248562761037</v>
      </c>
      <c r="E20" s="122">
        <f t="shared" si="1"/>
        <v>36825.846019643868</v>
      </c>
      <c r="F20" s="123"/>
      <c r="G20" s="122">
        <f t="shared" si="2"/>
        <v>97.5</v>
      </c>
      <c r="H20" s="122">
        <f t="shared" si="7"/>
        <v>-77.898370830038218</v>
      </c>
      <c r="I20" s="122">
        <f t="shared" si="3"/>
        <v>0.2940244375494267</v>
      </c>
      <c r="J20" s="124">
        <f>'Q2 Mortality table'!H42</f>
        <v>4.4690000000000294E-3</v>
      </c>
      <c r="K20" s="122">
        <f t="shared" si="4"/>
        <v>13174.153980356132</v>
      </c>
      <c r="L20" s="122">
        <f t="shared" si="8"/>
        <v>-58.875294138211942</v>
      </c>
      <c r="M20" s="122">
        <f t="shared" si="9"/>
        <v>-38.979640530700735</v>
      </c>
    </row>
    <row r="21" spans="1:13" x14ac:dyDescent="0.35">
      <c r="A21" s="57">
        <v>17</v>
      </c>
      <c r="B21" s="122">
        <f t="shared" si="0"/>
        <v>1950</v>
      </c>
      <c r="C21" s="122">
        <f t="shared" si="5"/>
        <v>1852.5</v>
      </c>
      <c r="D21" s="122">
        <f t="shared" si="6"/>
        <v>38678.346019643868</v>
      </c>
      <c r="E21" s="122">
        <f t="shared" si="1"/>
        <v>39838.696400233188</v>
      </c>
      <c r="F21" s="123"/>
      <c r="G21" s="122">
        <f t="shared" si="2"/>
        <v>97.5</v>
      </c>
      <c r="H21" s="122">
        <f t="shared" si="7"/>
        <v>-80.235321954939351</v>
      </c>
      <c r="I21" s="122">
        <f t="shared" si="3"/>
        <v>0.25897017067590972</v>
      </c>
      <c r="J21" s="124">
        <f>'Q2 Mortality table'!H43</f>
        <v>5.0249999999998846E-3</v>
      </c>
      <c r="K21" s="122">
        <f t="shared" si="4"/>
        <v>10161.303599766812</v>
      </c>
      <c r="L21" s="122">
        <f t="shared" si="8"/>
        <v>-51.060550588827056</v>
      </c>
      <c r="M21" s="122">
        <f t="shared" si="9"/>
        <v>-33.536902373090498</v>
      </c>
    </row>
    <row r="22" spans="1:13" x14ac:dyDescent="0.35">
      <c r="A22" s="57">
        <v>18</v>
      </c>
      <c r="B22" s="122">
        <f t="shared" si="0"/>
        <v>1950</v>
      </c>
      <c r="C22" s="122">
        <f t="shared" si="5"/>
        <v>1852.5</v>
      </c>
      <c r="D22" s="122">
        <f t="shared" si="6"/>
        <v>41691.196400233188</v>
      </c>
      <c r="E22" s="122">
        <f t="shared" si="1"/>
        <v>42941.932292240184</v>
      </c>
      <c r="F22" s="123"/>
      <c r="G22" s="122">
        <f t="shared" si="2"/>
        <v>97.5</v>
      </c>
      <c r="H22" s="122">
        <f t="shared" si="7"/>
        <v>-82.642381613587531</v>
      </c>
      <c r="I22" s="122">
        <f t="shared" si="3"/>
        <v>0.22286427579618703</v>
      </c>
      <c r="J22" s="124">
        <f>'Q2 Mortality table'!H44</f>
        <v>5.6499999999999519E-3</v>
      </c>
      <c r="K22" s="122">
        <f t="shared" si="4"/>
        <v>7058.0677077598157</v>
      </c>
      <c r="L22" s="122">
        <f t="shared" si="8"/>
        <v>-39.87808254884262</v>
      </c>
      <c r="M22" s="122">
        <f t="shared" si="9"/>
        <v>-24.797599886633964</v>
      </c>
    </row>
    <row r="23" spans="1:13" x14ac:dyDescent="0.35">
      <c r="A23" s="57">
        <v>19</v>
      </c>
      <c r="B23" s="122">
        <f t="shared" si="0"/>
        <v>1950</v>
      </c>
      <c r="C23" s="122">
        <f t="shared" si="5"/>
        <v>1852.5</v>
      </c>
      <c r="D23" s="122">
        <f t="shared" si="6"/>
        <v>44794.432292240184</v>
      </c>
      <c r="E23" s="122">
        <f t="shared" si="1"/>
        <v>46138.265261007393</v>
      </c>
      <c r="F23" s="123"/>
      <c r="G23" s="122">
        <f t="shared" si="2"/>
        <v>97.5</v>
      </c>
      <c r="H23" s="122">
        <f t="shared" si="7"/>
        <v>-85.121653061995161</v>
      </c>
      <c r="I23" s="122">
        <f t="shared" si="3"/>
        <v>0.18567520407007257</v>
      </c>
      <c r="J23" s="124">
        <f>'Q2 Mortality table'!H45</f>
        <v>6.3520000000000633E-3</v>
      </c>
      <c r="K23" s="122">
        <f t="shared" si="4"/>
        <v>3861.7347389926072</v>
      </c>
      <c r="L23" s="122">
        <f t="shared" si="8"/>
        <v>-24.529739062081287</v>
      </c>
      <c r="M23" s="122">
        <f t="shared" si="9"/>
        <v>-11.965716920006376</v>
      </c>
    </row>
    <row r="24" spans="1:13" x14ac:dyDescent="0.35">
      <c r="A24" s="57">
        <v>20</v>
      </c>
      <c r="B24" s="122">
        <f t="shared" si="0"/>
        <v>1950</v>
      </c>
      <c r="C24" s="122">
        <f t="shared" si="5"/>
        <v>1852.5</v>
      </c>
      <c r="D24" s="122">
        <f t="shared" si="6"/>
        <v>47990.765261007393</v>
      </c>
      <c r="E24" s="122">
        <f t="shared" si="1"/>
        <v>49430.488218837614</v>
      </c>
      <c r="F24" s="123"/>
      <c r="G24" s="122">
        <f t="shared" si="2"/>
        <v>97.5</v>
      </c>
      <c r="H24" s="122">
        <f t="shared" si="7"/>
        <v>-87.675302653855013</v>
      </c>
      <c r="I24" s="122">
        <f t="shared" si="3"/>
        <v>0.14737046019217478</v>
      </c>
      <c r="J24" s="124">
        <f>'Q2 Mortality table'!H46</f>
        <v>7.1400000000001072E-3</v>
      </c>
      <c r="K24" s="122">
        <f t="shared" si="4"/>
        <v>569.51178116238589</v>
      </c>
      <c r="L24" s="122">
        <f t="shared" si="8"/>
        <v>-4.0663141174994966</v>
      </c>
      <c r="M24" s="122">
        <f t="shared" si="9"/>
        <v>5.9057536888376649</v>
      </c>
    </row>
    <row r="25" spans="1:13" x14ac:dyDescent="0.35">
      <c r="A25" s="57">
        <v>21</v>
      </c>
      <c r="B25" s="122">
        <f t="shared" si="0"/>
        <v>1950</v>
      </c>
      <c r="C25" s="122">
        <f t="shared" si="5"/>
        <v>1852.5</v>
      </c>
      <c r="D25" s="122">
        <f t="shared" si="6"/>
        <v>51282.988218837614</v>
      </c>
      <c r="E25" s="122">
        <f t="shared" si="1"/>
        <v>52821.477865402747</v>
      </c>
      <c r="F25" s="123"/>
      <c r="G25" s="122">
        <f t="shared" si="2"/>
        <v>97.5</v>
      </c>
      <c r="H25" s="122">
        <f t="shared" si="7"/>
        <v>-90.305561733470668</v>
      </c>
      <c r="I25" s="122">
        <f t="shared" si="3"/>
        <v>0.10791657399793997</v>
      </c>
      <c r="J25" s="124">
        <f>'Q2 Mortality table'!H47</f>
        <v>8.022000000000069E-3</v>
      </c>
      <c r="K25" s="122">
        <f t="shared" si="4"/>
        <v>0</v>
      </c>
      <c r="L25" s="122">
        <f t="shared" si="8"/>
        <v>0</v>
      </c>
      <c r="M25" s="122">
        <f t="shared" si="9"/>
        <v>7.302354840527272</v>
      </c>
    </row>
    <row r="26" spans="1:13" x14ac:dyDescent="0.35">
      <c r="A26" s="57">
        <v>22</v>
      </c>
      <c r="B26" s="122">
        <f t="shared" si="0"/>
        <v>1950</v>
      </c>
      <c r="C26" s="122">
        <f t="shared" si="5"/>
        <v>1852.5</v>
      </c>
      <c r="D26" s="122">
        <f t="shared" si="6"/>
        <v>54673.977865402747</v>
      </c>
      <c r="E26" s="122">
        <f t="shared" si="1"/>
        <v>56314.197201364834</v>
      </c>
      <c r="F26" s="123"/>
      <c r="G26" s="122">
        <f t="shared" si="2"/>
        <v>97.5</v>
      </c>
      <c r="H26" s="122">
        <f t="shared" si="7"/>
        <v>-93.014728585474771</v>
      </c>
      <c r="I26" s="122">
        <f t="shared" si="3"/>
        <v>6.7279071217878433E-2</v>
      </c>
      <c r="J26" s="124">
        <f>'Q2 Mortality table'!H48</f>
        <v>9.0090000000001332E-3</v>
      </c>
      <c r="K26" s="122">
        <f t="shared" si="4"/>
        <v>0</v>
      </c>
      <c r="L26" s="122">
        <f t="shared" si="8"/>
        <v>0</v>
      </c>
      <c r="M26" s="122">
        <f t="shared" si="9"/>
        <v>4.5525504857431081</v>
      </c>
    </row>
    <row r="27" spans="1:13" x14ac:dyDescent="0.35">
      <c r="A27" s="57">
        <v>23</v>
      </c>
      <c r="B27" s="122">
        <f t="shared" si="0"/>
        <v>1950</v>
      </c>
      <c r="C27" s="122">
        <f t="shared" si="5"/>
        <v>1852.5</v>
      </c>
      <c r="D27" s="122">
        <f t="shared" si="6"/>
        <v>58166.697201364834</v>
      </c>
      <c r="E27" s="122">
        <f t="shared" si="1"/>
        <v>59911.69811740578</v>
      </c>
      <c r="F27" s="123"/>
      <c r="G27" s="122">
        <f t="shared" si="2"/>
        <v>97.5</v>
      </c>
      <c r="H27" s="122">
        <f t="shared" si="7"/>
        <v>-95.805170443039017</v>
      </c>
      <c r="I27" s="122">
        <f t="shared" si="3"/>
        <v>2.5422443354414737E-2</v>
      </c>
      <c r="J27" s="124">
        <f>'Q2 Mortality table'!H49</f>
        <v>1.0111999999999927E-2</v>
      </c>
      <c r="K27" s="122">
        <f t="shared" si="4"/>
        <v>0</v>
      </c>
      <c r="L27" s="122">
        <f t="shared" si="8"/>
        <v>0</v>
      </c>
      <c r="M27" s="122">
        <f t="shared" si="9"/>
        <v>1.7202520003153974</v>
      </c>
    </row>
    <row r="28" spans="1:13" x14ac:dyDescent="0.35">
      <c r="A28" s="57">
        <v>24</v>
      </c>
      <c r="B28" s="122">
        <f t="shared" si="0"/>
        <v>1950</v>
      </c>
      <c r="C28" s="122">
        <f t="shared" si="5"/>
        <v>1852.5</v>
      </c>
      <c r="D28" s="122">
        <f t="shared" si="6"/>
        <v>61764.19811740578</v>
      </c>
      <c r="E28" s="122">
        <f t="shared" si="1"/>
        <v>63617.124060927956</v>
      </c>
      <c r="F28" s="123"/>
      <c r="G28" s="122">
        <f t="shared" si="2"/>
        <v>97.5</v>
      </c>
      <c r="H28" s="122">
        <f t="shared" si="7"/>
        <v>-98.679325556330198</v>
      </c>
      <c r="I28" s="122">
        <f t="shared" si="3"/>
        <v>-1.7689883344952972E-2</v>
      </c>
      <c r="J28" s="124">
        <f>'Q2 Mortality table'!H50</f>
        <v>1.134400000000001E-2</v>
      </c>
      <c r="K28" s="122">
        <f t="shared" si="4"/>
        <v>0</v>
      </c>
      <c r="L28" s="122">
        <f t="shared" si="8"/>
        <v>0</v>
      </c>
      <c r="M28" s="122">
        <f t="shared" si="9"/>
        <v>-1.1970154396751513</v>
      </c>
    </row>
    <row r="29" spans="1:13" x14ac:dyDescent="0.35">
      <c r="A29" s="57">
        <v>25</v>
      </c>
      <c r="B29" s="122">
        <f t="shared" si="0"/>
        <v>1950</v>
      </c>
      <c r="C29" s="122">
        <f t="shared" si="5"/>
        <v>1852.5</v>
      </c>
      <c r="D29" s="122">
        <f t="shared" si="6"/>
        <v>65469.624060927956</v>
      </c>
      <c r="E29" s="122">
        <f t="shared" si="1"/>
        <v>67433.7127827558</v>
      </c>
      <c r="F29" s="123"/>
      <c r="G29" s="122">
        <f t="shared" si="2"/>
        <v>97.5</v>
      </c>
      <c r="H29" s="122">
        <f t="shared" si="7"/>
        <v>-101.6397053230201</v>
      </c>
      <c r="I29" s="122">
        <f t="shared" si="3"/>
        <v>-6.2095579845301424E-2</v>
      </c>
      <c r="J29" s="124">
        <f>'Q2 Mortality table'!H51</f>
        <v>1.271599999999987E-2</v>
      </c>
      <c r="K29" s="122">
        <f t="shared" si="4"/>
        <v>0</v>
      </c>
      <c r="L29" s="122">
        <f t="shared" si="8"/>
        <v>0</v>
      </c>
      <c r="M29" s="122">
        <f t="shared" si="9"/>
        <v>-4.2018009028653971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9"/>
  <sheetViews>
    <sheetView workbookViewId="0">
      <selection activeCell="A4" sqref="A4"/>
    </sheetView>
  </sheetViews>
  <sheetFormatPr defaultColWidth="10.36328125" defaultRowHeight="14.5" x14ac:dyDescent="0.35"/>
  <cols>
    <col min="6" max="6" width="1.453125" customWidth="1"/>
  </cols>
  <sheetData>
    <row r="1" spans="1:13" s="28" customFormat="1" ht="21" x14ac:dyDescent="0.5">
      <c r="A1" s="23" t="s">
        <v>145</v>
      </c>
    </row>
    <row r="2" spans="1:13" x14ac:dyDescent="0.35">
      <c r="B2" s="45" t="s">
        <v>125</v>
      </c>
      <c r="C2" s="46"/>
      <c r="G2" s="45" t="s">
        <v>126</v>
      </c>
      <c r="H2" s="126"/>
      <c r="I2" s="46"/>
      <c r="J2" s="119"/>
    </row>
    <row r="3" spans="1:13" x14ac:dyDescent="0.35">
      <c r="A3" s="59"/>
      <c r="B3" s="127"/>
      <c r="C3" s="127" t="s">
        <v>127</v>
      </c>
      <c r="D3" s="127" t="s">
        <v>128</v>
      </c>
      <c r="E3" s="127" t="s">
        <v>128</v>
      </c>
      <c r="F3" s="123"/>
      <c r="G3" s="127" t="s">
        <v>129</v>
      </c>
      <c r="H3" s="127"/>
      <c r="I3" s="127"/>
      <c r="J3" s="120" t="s">
        <v>68</v>
      </c>
      <c r="K3" s="127" t="s">
        <v>130</v>
      </c>
      <c r="L3" s="127" t="s">
        <v>78</v>
      </c>
      <c r="M3" s="127" t="s">
        <v>131</v>
      </c>
    </row>
    <row r="4" spans="1:13" x14ac:dyDescent="0.35">
      <c r="A4" s="62" t="s">
        <v>67</v>
      </c>
      <c r="B4" s="128" t="s">
        <v>72</v>
      </c>
      <c r="C4" s="128" t="s">
        <v>132</v>
      </c>
      <c r="D4" s="128" t="s">
        <v>133</v>
      </c>
      <c r="E4" s="128" t="s">
        <v>134</v>
      </c>
      <c r="F4" s="123"/>
      <c r="G4" s="128" t="s">
        <v>135</v>
      </c>
      <c r="H4" s="128" t="s">
        <v>73</v>
      </c>
      <c r="I4" s="128" t="s">
        <v>75</v>
      </c>
      <c r="J4" s="121" t="s">
        <v>84</v>
      </c>
      <c r="K4" s="128" t="s">
        <v>136</v>
      </c>
      <c r="L4" s="128" t="s">
        <v>137</v>
      </c>
      <c r="M4" s="128" t="s">
        <v>91</v>
      </c>
    </row>
    <row r="5" spans="1:13" x14ac:dyDescent="0.35">
      <c r="A5" s="57">
        <v>1</v>
      </c>
      <c r="B5" s="122">
        <f t="shared" ref="B5:B29" si="0">P</f>
        <v>1950</v>
      </c>
      <c r="C5" s="122">
        <f>B5*A*(1-BO)</f>
        <v>833.625</v>
      </c>
      <c r="D5" s="122">
        <f>C5</f>
        <v>833.625</v>
      </c>
      <c r="E5" s="122">
        <f t="shared" ref="E5:E29" si="1">D5*(1+ProUG)</f>
        <v>866.97</v>
      </c>
      <c r="F5" s="123"/>
      <c r="G5" s="122">
        <f t="shared" ref="G5:G29" si="2">B5-C5</f>
        <v>1116.375</v>
      </c>
      <c r="H5" s="122">
        <f>-ProIE</f>
        <v>-1000</v>
      </c>
      <c r="I5" s="122">
        <f t="shared" ref="I5:I29" si="3">(G5+H5)*ProINT</f>
        <v>2.3275000000000001</v>
      </c>
      <c r="J5" s="124">
        <f>'Q2 Mortality table'!H27*ProMM</f>
        <v>7.4959999999990069E-4</v>
      </c>
      <c r="K5" s="122">
        <f t="shared" ref="K5:K29" si="4">MAX(D-E5,0)</f>
        <v>49133.03</v>
      </c>
      <c r="L5" s="122">
        <f>-J5*K5</f>
        <v>-36.830119287995117</v>
      </c>
      <c r="M5" s="122">
        <f>G5+H5+I5+L5</f>
        <v>81.872380712004883</v>
      </c>
    </row>
    <row r="6" spans="1:13" x14ac:dyDescent="0.35">
      <c r="A6" s="57">
        <v>2</v>
      </c>
      <c r="B6" s="122">
        <f t="shared" si="0"/>
        <v>1950</v>
      </c>
      <c r="C6" s="122">
        <f t="shared" ref="C6:C29" si="5">B6*(1-BO)</f>
        <v>1852.5</v>
      </c>
      <c r="D6" s="122">
        <f t="shared" ref="D6:D29" si="6">C6+E5</f>
        <v>2719.4700000000003</v>
      </c>
      <c r="E6" s="122">
        <f t="shared" si="1"/>
        <v>2828.2488000000003</v>
      </c>
      <c r="F6" s="123"/>
      <c r="G6" s="122">
        <f t="shared" si="2"/>
        <v>97.5</v>
      </c>
      <c r="H6" s="122">
        <f t="shared" ref="H6:H29" si="7">-ProRE*(1+ProINF)^A5</f>
        <v>-51</v>
      </c>
      <c r="I6" s="122">
        <f t="shared" si="3"/>
        <v>0.93</v>
      </c>
      <c r="J6" s="124">
        <f>'Q2 Mortality table'!H28*ProMM</f>
        <v>8.1119999999989742E-4</v>
      </c>
      <c r="K6" s="122">
        <f t="shared" si="4"/>
        <v>47171.751199999999</v>
      </c>
      <c r="L6" s="122">
        <f t="shared" ref="L6:L29" si="8">-J6*K6</f>
        <v>-38.265724573435158</v>
      </c>
      <c r="M6" s="122">
        <f t="shared" ref="M6:M29" si="9">G6+H6+I6+L6</f>
        <v>9.1642754265648421</v>
      </c>
    </row>
    <row r="7" spans="1:13" x14ac:dyDescent="0.35">
      <c r="A7" s="57">
        <v>3</v>
      </c>
      <c r="B7" s="122">
        <f t="shared" si="0"/>
        <v>1950</v>
      </c>
      <c r="C7" s="122">
        <f t="shared" si="5"/>
        <v>1852.5</v>
      </c>
      <c r="D7" s="122">
        <f t="shared" si="6"/>
        <v>4680.7488000000003</v>
      </c>
      <c r="E7" s="122">
        <f t="shared" si="1"/>
        <v>4867.9787520000009</v>
      </c>
      <c r="F7" s="123"/>
      <c r="G7" s="122">
        <f t="shared" si="2"/>
        <v>97.5</v>
      </c>
      <c r="H7" s="122">
        <f t="shared" si="7"/>
        <v>-52.019999999999996</v>
      </c>
      <c r="I7" s="122">
        <f t="shared" si="3"/>
        <v>0.90960000000000008</v>
      </c>
      <c r="J7" s="124">
        <f>'Q2 Mortality table'!H29*ProMM</f>
        <v>8.8320000000001496E-4</v>
      </c>
      <c r="K7" s="122">
        <f t="shared" si="4"/>
        <v>45132.021247999997</v>
      </c>
      <c r="L7" s="122">
        <f t="shared" si="8"/>
        <v>-39.860601166234275</v>
      </c>
      <c r="M7" s="122">
        <f t="shared" si="9"/>
        <v>6.5289988337657263</v>
      </c>
    </row>
    <row r="8" spans="1:13" x14ac:dyDescent="0.35">
      <c r="A8" s="57">
        <v>4</v>
      </c>
      <c r="B8" s="122">
        <f t="shared" si="0"/>
        <v>1950</v>
      </c>
      <c r="C8" s="122">
        <f t="shared" si="5"/>
        <v>1852.5</v>
      </c>
      <c r="D8" s="122">
        <f t="shared" si="6"/>
        <v>6720.4787520000009</v>
      </c>
      <c r="E8" s="122">
        <f t="shared" si="1"/>
        <v>6989.2979020800012</v>
      </c>
      <c r="F8" s="123"/>
      <c r="G8" s="122">
        <f t="shared" si="2"/>
        <v>97.5</v>
      </c>
      <c r="H8" s="122">
        <f t="shared" si="7"/>
        <v>-53.060399999999994</v>
      </c>
      <c r="I8" s="122">
        <f t="shared" si="3"/>
        <v>0.88879200000000014</v>
      </c>
      <c r="J8" s="124">
        <f>'Q2 Mortality table'!H30*ProMM</f>
        <v>9.6639999999992103E-4</v>
      </c>
      <c r="K8" s="122">
        <f t="shared" si="4"/>
        <v>43010.702097920002</v>
      </c>
      <c r="L8" s="122">
        <f t="shared" si="8"/>
        <v>-41.565542507426493</v>
      </c>
      <c r="M8" s="122">
        <f t="shared" si="9"/>
        <v>3.7628494925735154</v>
      </c>
    </row>
    <row r="9" spans="1:13" x14ac:dyDescent="0.35">
      <c r="A9" s="57">
        <v>5</v>
      </c>
      <c r="B9" s="122">
        <f t="shared" si="0"/>
        <v>1950</v>
      </c>
      <c r="C9" s="122">
        <f t="shared" si="5"/>
        <v>1852.5</v>
      </c>
      <c r="D9" s="122">
        <f t="shared" si="6"/>
        <v>8841.7979020800012</v>
      </c>
      <c r="E9" s="122">
        <f t="shared" si="1"/>
        <v>9195.4698181632011</v>
      </c>
      <c r="F9" s="123"/>
      <c r="G9" s="122">
        <f t="shared" si="2"/>
        <v>97.5</v>
      </c>
      <c r="H9" s="122">
        <f t="shared" si="7"/>
        <v>-54.121608000000002</v>
      </c>
      <c r="I9" s="122">
        <f t="shared" si="3"/>
        <v>0.86756783999999998</v>
      </c>
      <c r="J9" s="124">
        <f>'Q2 Mortality table'!H31*ProMM</f>
        <v>1.0616000000000156E-3</v>
      </c>
      <c r="K9" s="122">
        <f t="shared" si="4"/>
        <v>40804.530181836803</v>
      </c>
      <c r="L9" s="122">
        <f t="shared" si="8"/>
        <v>-43.318089241038585</v>
      </c>
      <c r="M9" s="122">
        <f t="shared" si="9"/>
        <v>0.92787059896141244</v>
      </c>
    </row>
    <row r="10" spans="1:13" x14ac:dyDescent="0.35">
      <c r="A10" s="57">
        <v>6</v>
      </c>
      <c r="B10" s="122">
        <f t="shared" si="0"/>
        <v>1950</v>
      </c>
      <c r="C10" s="122">
        <f t="shared" si="5"/>
        <v>1852.5</v>
      </c>
      <c r="D10" s="122">
        <f t="shared" si="6"/>
        <v>11047.969818163201</v>
      </c>
      <c r="E10" s="122">
        <f t="shared" si="1"/>
        <v>11489.88861088973</v>
      </c>
      <c r="F10" s="123"/>
      <c r="G10" s="122">
        <f t="shared" si="2"/>
        <v>97.5</v>
      </c>
      <c r="H10" s="122">
        <f t="shared" si="7"/>
        <v>-55.204040159999998</v>
      </c>
      <c r="I10" s="122">
        <f t="shared" si="3"/>
        <v>0.84591919680000005</v>
      </c>
      <c r="J10" s="124">
        <f>'Q2 Mortality table'!H32*ProMM</f>
        <v>1.1719999999999702E-3</v>
      </c>
      <c r="K10" s="122">
        <f t="shared" si="4"/>
        <v>38510.111389110272</v>
      </c>
      <c r="L10" s="122">
        <f t="shared" si="8"/>
        <v>-45.133850548036087</v>
      </c>
      <c r="M10" s="122">
        <f t="shared" si="9"/>
        <v>-1.9919715112360876</v>
      </c>
    </row>
    <row r="11" spans="1:13" x14ac:dyDescent="0.35">
      <c r="A11" s="57">
        <v>7</v>
      </c>
      <c r="B11" s="122">
        <f t="shared" si="0"/>
        <v>1950</v>
      </c>
      <c r="C11" s="122">
        <f t="shared" si="5"/>
        <v>1852.5</v>
      </c>
      <c r="D11" s="122">
        <f t="shared" si="6"/>
        <v>13342.38861088973</v>
      </c>
      <c r="E11" s="122">
        <f t="shared" si="1"/>
        <v>13876.084155325319</v>
      </c>
      <c r="F11" s="123"/>
      <c r="G11" s="122">
        <f t="shared" si="2"/>
        <v>97.5</v>
      </c>
      <c r="H11" s="122">
        <f t="shared" si="7"/>
        <v>-56.308120963200004</v>
      </c>
      <c r="I11" s="122">
        <f t="shared" si="3"/>
        <v>0.82383758073599989</v>
      </c>
      <c r="J11" s="124">
        <f>'Q2 Mortality table'!H33*ProMM</f>
        <v>1.2976000000000491E-3</v>
      </c>
      <c r="K11" s="122">
        <f t="shared" si="4"/>
        <v>36123.915844674681</v>
      </c>
      <c r="L11" s="122">
        <f t="shared" si="8"/>
        <v>-46.874393200051642</v>
      </c>
      <c r="M11" s="122">
        <f t="shared" si="9"/>
        <v>-4.858676582515649</v>
      </c>
    </row>
    <row r="12" spans="1:13" x14ac:dyDescent="0.35">
      <c r="A12" s="57">
        <v>8</v>
      </c>
      <c r="B12" s="122">
        <f t="shared" si="0"/>
        <v>1950</v>
      </c>
      <c r="C12" s="122">
        <f t="shared" si="5"/>
        <v>1852.5</v>
      </c>
      <c r="D12" s="122">
        <f t="shared" si="6"/>
        <v>15728.584155325319</v>
      </c>
      <c r="E12" s="122">
        <f t="shared" si="1"/>
        <v>16357.727521538332</v>
      </c>
      <c r="F12" s="123"/>
      <c r="G12" s="122">
        <f t="shared" si="2"/>
        <v>97.5</v>
      </c>
      <c r="H12" s="122">
        <f t="shared" si="7"/>
        <v>-57.434283382463988</v>
      </c>
      <c r="I12" s="122">
        <f t="shared" si="3"/>
        <v>0.80131433235072025</v>
      </c>
      <c r="J12" s="124">
        <f>'Q2 Mortality table'!H34*ProMM</f>
        <v>1.4415999999999635E-3</v>
      </c>
      <c r="K12" s="122">
        <f t="shared" si="4"/>
        <v>33642.272478461666</v>
      </c>
      <c r="L12" s="122">
        <f t="shared" si="8"/>
        <v>-48.498700004949107</v>
      </c>
      <c r="M12" s="122">
        <f t="shared" si="9"/>
        <v>-7.6316690550623747</v>
      </c>
    </row>
    <row r="13" spans="1:13" x14ac:dyDescent="0.35">
      <c r="A13" s="57">
        <v>9</v>
      </c>
      <c r="B13" s="122">
        <f t="shared" si="0"/>
        <v>1950</v>
      </c>
      <c r="C13" s="122">
        <f t="shared" si="5"/>
        <v>1852.5</v>
      </c>
      <c r="D13" s="122">
        <f t="shared" si="6"/>
        <v>18210.227521538334</v>
      </c>
      <c r="E13" s="122">
        <f t="shared" si="1"/>
        <v>18938.636622399867</v>
      </c>
      <c r="F13" s="123"/>
      <c r="G13" s="122">
        <f t="shared" si="2"/>
        <v>97.5</v>
      </c>
      <c r="H13" s="122">
        <f t="shared" si="7"/>
        <v>-58.582969050113277</v>
      </c>
      <c r="I13" s="122">
        <f t="shared" si="3"/>
        <v>0.77834061899773443</v>
      </c>
      <c r="J13" s="124">
        <f>'Q2 Mortality table'!H35*ProMM</f>
        <v>1.6063999999999679E-3</v>
      </c>
      <c r="K13" s="122">
        <f t="shared" si="4"/>
        <v>31061.363377600133</v>
      </c>
      <c r="L13" s="122">
        <f t="shared" si="8"/>
        <v>-49.896974129775856</v>
      </c>
      <c r="M13" s="122">
        <f t="shared" si="9"/>
        <v>-10.201602560891402</v>
      </c>
    </row>
    <row r="14" spans="1:13" x14ac:dyDescent="0.35">
      <c r="A14" s="57">
        <v>10</v>
      </c>
      <c r="B14" s="122">
        <f t="shared" si="0"/>
        <v>1950</v>
      </c>
      <c r="C14" s="122">
        <f t="shared" si="5"/>
        <v>1852.5</v>
      </c>
      <c r="D14" s="122">
        <f t="shared" si="6"/>
        <v>20791.136622399867</v>
      </c>
      <c r="E14" s="122">
        <f t="shared" si="1"/>
        <v>21622.782087295862</v>
      </c>
      <c r="F14" s="123"/>
      <c r="G14" s="122">
        <f t="shared" si="2"/>
        <v>97.5</v>
      </c>
      <c r="H14" s="122">
        <f t="shared" si="7"/>
        <v>-59.754628431115542</v>
      </c>
      <c r="I14" s="122">
        <f t="shared" si="3"/>
        <v>0.75490743137768923</v>
      </c>
      <c r="J14" s="124">
        <f>'Q2 Mortality table'!H36*ProMM</f>
        <v>1.7928000000000861E-3</v>
      </c>
      <c r="K14" s="122">
        <f t="shared" si="4"/>
        <v>28377.217912704138</v>
      </c>
      <c r="L14" s="122">
        <f t="shared" si="8"/>
        <v>-50.874676273898423</v>
      </c>
      <c r="M14" s="122">
        <f t="shared" si="9"/>
        <v>-12.374397273636276</v>
      </c>
    </row>
    <row r="15" spans="1:13" x14ac:dyDescent="0.35">
      <c r="A15" s="57">
        <v>11</v>
      </c>
      <c r="B15" s="122">
        <f t="shared" si="0"/>
        <v>1950</v>
      </c>
      <c r="C15" s="122">
        <f t="shared" si="5"/>
        <v>1852.5</v>
      </c>
      <c r="D15" s="122">
        <f t="shared" si="6"/>
        <v>23475.282087295862</v>
      </c>
      <c r="E15" s="122">
        <f t="shared" si="1"/>
        <v>24414.293370787698</v>
      </c>
      <c r="F15" s="123"/>
      <c r="G15" s="122">
        <f t="shared" si="2"/>
        <v>97.5</v>
      </c>
      <c r="H15" s="122">
        <f t="shared" si="7"/>
        <v>-60.949720999737856</v>
      </c>
      <c r="I15" s="122">
        <f t="shared" si="3"/>
        <v>0.73100558000524285</v>
      </c>
      <c r="J15" s="124">
        <f>'Q2 Mortality table'!H37*ProMM</f>
        <v>2.0063999999998892E-3</v>
      </c>
      <c r="K15" s="122">
        <f t="shared" si="4"/>
        <v>25585.706629212302</v>
      </c>
      <c r="L15" s="122">
        <f t="shared" si="8"/>
        <v>-51.335161780848729</v>
      </c>
      <c r="M15" s="122">
        <f t="shared" si="9"/>
        <v>-14.05387720058134</v>
      </c>
    </row>
    <row r="16" spans="1:13" x14ac:dyDescent="0.35">
      <c r="A16" s="57">
        <v>12</v>
      </c>
      <c r="B16" s="122">
        <f t="shared" si="0"/>
        <v>1950</v>
      </c>
      <c r="C16" s="122">
        <f t="shared" si="5"/>
        <v>1852.5</v>
      </c>
      <c r="D16" s="122">
        <f t="shared" si="6"/>
        <v>26266.793370787698</v>
      </c>
      <c r="E16" s="122">
        <f t="shared" si="1"/>
        <v>27317.465105619209</v>
      </c>
      <c r="F16" s="123"/>
      <c r="G16" s="122">
        <f t="shared" si="2"/>
        <v>97.5</v>
      </c>
      <c r="H16" s="122">
        <f t="shared" si="7"/>
        <v>-62.1687154197326</v>
      </c>
      <c r="I16" s="122">
        <f t="shared" si="3"/>
        <v>0.70662569160534805</v>
      </c>
      <c r="J16" s="124">
        <f>'Q2 Mortality table'!H38*ProMM</f>
        <v>2.2471999999999731E-3</v>
      </c>
      <c r="K16" s="122">
        <f t="shared" si="4"/>
        <v>22682.534894380791</v>
      </c>
      <c r="L16" s="122">
        <f t="shared" si="8"/>
        <v>-50.972192414651907</v>
      </c>
      <c r="M16" s="122">
        <f t="shared" si="9"/>
        <v>-14.934282142779161</v>
      </c>
    </row>
    <row r="17" spans="1:13" x14ac:dyDescent="0.35">
      <c r="A17" s="57">
        <v>13</v>
      </c>
      <c r="B17" s="122">
        <f t="shared" si="0"/>
        <v>1950</v>
      </c>
      <c r="C17" s="122">
        <f t="shared" si="5"/>
        <v>1852.5</v>
      </c>
      <c r="D17" s="122">
        <f t="shared" si="6"/>
        <v>29169.965105619209</v>
      </c>
      <c r="E17" s="122">
        <f t="shared" si="1"/>
        <v>30336.763709843977</v>
      </c>
      <c r="F17" s="123"/>
      <c r="G17" s="122">
        <f t="shared" si="2"/>
        <v>97.5</v>
      </c>
      <c r="H17" s="122">
        <f t="shared" si="7"/>
        <v>-63.412089728127263</v>
      </c>
      <c r="I17" s="122">
        <f t="shared" si="3"/>
        <v>0.6817582054374548</v>
      </c>
      <c r="J17" s="124">
        <f>'Q2 Mortality table'!H39*ProMM</f>
        <v>2.5215999999999867E-3</v>
      </c>
      <c r="K17" s="122">
        <f t="shared" si="4"/>
        <v>19663.236290156023</v>
      </c>
      <c r="L17" s="122">
        <f t="shared" si="8"/>
        <v>-49.582816629257167</v>
      </c>
      <c r="M17" s="122">
        <f t="shared" si="9"/>
        <v>-14.813148151946976</v>
      </c>
    </row>
    <row r="18" spans="1:13" x14ac:dyDescent="0.35">
      <c r="A18" s="57">
        <v>14</v>
      </c>
      <c r="B18" s="122">
        <f t="shared" si="0"/>
        <v>1950</v>
      </c>
      <c r="C18" s="122">
        <f t="shared" si="5"/>
        <v>1852.5</v>
      </c>
      <c r="D18" s="122">
        <f t="shared" si="6"/>
        <v>32189.263709843977</v>
      </c>
      <c r="E18" s="122">
        <f t="shared" si="1"/>
        <v>33476.834258237737</v>
      </c>
      <c r="F18" s="123"/>
      <c r="G18" s="122">
        <f t="shared" si="2"/>
        <v>97.5</v>
      </c>
      <c r="H18" s="122">
        <f t="shared" si="7"/>
        <v>-64.680331522689798</v>
      </c>
      <c r="I18" s="122">
        <f t="shared" si="3"/>
        <v>0.65639336954620409</v>
      </c>
      <c r="J18" s="124">
        <f>'Q2 Mortality table'!H40*ProMM</f>
        <v>2.8311999999999235E-3</v>
      </c>
      <c r="K18" s="122">
        <f t="shared" si="4"/>
        <v>16523.165741762263</v>
      </c>
      <c r="L18" s="122">
        <f t="shared" si="8"/>
        <v>-46.780386848076056</v>
      </c>
      <c r="M18" s="122">
        <f t="shared" si="9"/>
        <v>-13.304325001219652</v>
      </c>
    </row>
    <row r="19" spans="1:13" x14ac:dyDescent="0.35">
      <c r="A19" s="57">
        <v>15</v>
      </c>
      <c r="B19" s="122">
        <f t="shared" si="0"/>
        <v>1950</v>
      </c>
      <c r="C19" s="122">
        <f t="shared" si="5"/>
        <v>1852.5</v>
      </c>
      <c r="D19" s="122">
        <f t="shared" si="6"/>
        <v>35329.334258237737</v>
      </c>
      <c r="E19" s="122">
        <f t="shared" si="1"/>
        <v>36742.507628567248</v>
      </c>
      <c r="F19" s="123"/>
      <c r="G19" s="122">
        <f t="shared" si="2"/>
        <v>97.5</v>
      </c>
      <c r="H19" s="122">
        <f t="shared" si="7"/>
        <v>-65.973938153143607</v>
      </c>
      <c r="I19" s="122">
        <f t="shared" si="3"/>
        <v>0.63052123693712792</v>
      </c>
      <c r="J19" s="124">
        <f>'Q2 Mortality table'!H41*ProMM</f>
        <v>3.1808000000000144E-3</v>
      </c>
      <c r="K19" s="122">
        <f t="shared" si="4"/>
        <v>13257.492371432752</v>
      </c>
      <c r="L19" s="122">
        <f t="shared" si="8"/>
        <v>-42.169431735053493</v>
      </c>
      <c r="M19" s="122">
        <f t="shared" si="9"/>
        <v>-10.012848651259972</v>
      </c>
    </row>
    <row r="20" spans="1:13" x14ac:dyDescent="0.35">
      <c r="A20" s="57">
        <v>16</v>
      </c>
      <c r="B20" s="122">
        <f t="shared" si="0"/>
        <v>1950</v>
      </c>
      <c r="C20" s="122">
        <f t="shared" si="5"/>
        <v>1852.5</v>
      </c>
      <c r="D20" s="122">
        <f t="shared" si="6"/>
        <v>38595.007628567248</v>
      </c>
      <c r="E20" s="122">
        <f t="shared" si="1"/>
        <v>40138.807933709941</v>
      </c>
      <c r="F20" s="123"/>
      <c r="G20" s="122">
        <f t="shared" si="2"/>
        <v>97.5</v>
      </c>
      <c r="H20" s="122">
        <f t="shared" si="7"/>
        <v>-67.293416916206468</v>
      </c>
      <c r="I20" s="122">
        <f t="shared" si="3"/>
        <v>0.60413166167587062</v>
      </c>
      <c r="J20" s="124">
        <f>'Q2 Mortality table'!H42*ProMM</f>
        <v>3.5752000000000236E-3</v>
      </c>
      <c r="K20" s="122">
        <f t="shared" si="4"/>
        <v>9861.1920662900593</v>
      </c>
      <c r="L20" s="122">
        <f t="shared" si="8"/>
        <v>-35.255733875400452</v>
      </c>
      <c r="M20" s="122">
        <f t="shared" si="9"/>
        <v>-4.4450191299310475</v>
      </c>
    </row>
    <row r="21" spans="1:13" x14ac:dyDescent="0.35">
      <c r="A21" s="57">
        <v>17</v>
      </c>
      <c r="B21" s="122">
        <f t="shared" si="0"/>
        <v>1950</v>
      </c>
      <c r="C21" s="122">
        <f t="shared" si="5"/>
        <v>1852.5</v>
      </c>
      <c r="D21" s="122">
        <f t="shared" si="6"/>
        <v>41991.307933709941</v>
      </c>
      <c r="E21" s="122">
        <f t="shared" si="1"/>
        <v>43670.960251058343</v>
      </c>
      <c r="F21" s="123"/>
      <c r="G21" s="122">
        <f t="shared" si="2"/>
        <v>97.5</v>
      </c>
      <c r="H21" s="122">
        <f t="shared" si="7"/>
        <v>-68.639285254530606</v>
      </c>
      <c r="I21" s="122">
        <f t="shared" si="3"/>
        <v>0.57721429490938791</v>
      </c>
      <c r="J21" s="124">
        <f>'Q2 Mortality table'!H43*ProMM</f>
        <v>4.0199999999999082E-3</v>
      </c>
      <c r="K21" s="122">
        <f t="shared" si="4"/>
        <v>6329.0397489416573</v>
      </c>
      <c r="L21" s="122">
        <f t="shared" si="8"/>
        <v>-25.442739790744881</v>
      </c>
      <c r="M21" s="122">
        <f t="shared" si="9"/>
        <v>3.9951892496339028</v>
      </c>
    </row>
    <row r="22" spans="1:13" x14ac:dyDescent="0.35">
      <c r="A22" s="57">
        <v>18</v>
      </c>
      <c r="B22" s="122">
        <f t="shared" si="0"/>
        <v>1950</v>
      </c>
      <c r="C22" s="122">
        <f t="shared" si="5"/>
        <v>1852.5</v>
      </c>
      <c r="D22" s="122">
        <f t="shared" si="6"/>
        <v>45523.460251058343</v>
      </c>
      <c r="E22" s="122">
        <f t="shared" si="1"/>
        <v>47344.398661100677</v>
      </c>
      <c r="F22" s="123"/>
      <c r="G22" s="122">
        <f t="shared" si="2"/>
        <v>97.5</v>
      </c>
      <c r="H22" s="122">
        <f t="shared" si="7"/>
        <v>-70.012070959621227</v>
      </c>
      <c r="I22" s="122">
        <f t="shared" si="3"/>
        <v>0.54975858080757545</v>
      </c>
      <c r="J22" s="124">
        <f>'Q2 Mortality table'!H44*ProMM</f>
        <v>4.5199999999999615E-3</v>
      </c>
      <c r="K22" s="122">
        <f t="shared" si="4"/>
        <v>2655.6013388993233</v>
      </c>
      <c r="L22" s="122">
        <f t="shared" si="8"/>
        <v>-12.00331805182484</v>
      </c>
      <c r="M22" s="122">
        <f t="shared" si="9"/>
        <v>16.034369569361509</v>
      </c>
    </row>
    <row r="23" spans="1:13" x14ac:dyDescent="0.35">
      <c r="A23" s="57">
        <v>19</v>
      </c>
      <c r="B23" s="122">
        <f t="shared" si="0"/>
        <v>1950</v>
      </c>
      <c r="C23" s="122">
        <f t="shared" si="5"/>
        <v>1852.5</v>
      </c>
      <c r="D23" s="122">
        <f t="shared" si="6"/>
        <v>49196.898661100677</v>
      </c>
      <c r="E23" s="122">
        <f t="shared" si="1"/>
        <v>51164.774607544707</v>
      </c>
      <c r="F23" s="123"/>
      <c r="G23" s="122">
        <f t="shared" si="2"/>
        <v>97.5</v>
      </c>
      <c r="H23" s="122">
        <f t="shared" si="7"/>
        <v>-71.412312378813638</v>
      </c>
      <c r="I23" s="122">
        <f t="shared" si="3"/>
        <v>0.52175375242372724</v>
      </c>
      <c r="J23" s="124">
        <f>'Q2 Mortality table'!H45*ProMM</f>
        <v>5.0816000000000507E-3</v>
      </c>
      <c r="K23" s="122">
        <f t="shared" si="4"/>
        <v>0</v>
      </c>
      <c r="L23" s="122">
        <f t="shared" si="8"/>
        <v>0</v>
      </c>
      <c r="M23" s="122">
        <f t="shared" si="9"/>
        <v>26.609441373610089</v>
      </c>
    </row>
    <row r="24" spans="1:13" x14ac:dyDescent="0.35">
      <c r="A24" s="57">
        <v>20</v>
      </c>
      <c r="B24" s="122">
        <f t="shared" si="0"/>
        <v>1950</v>
      </c>
      <c r="C24" s="122">
        <f t="shared" si="5"/>
        <v>1852.5</v>
      </c>
      <c r="D24" s="122">
        <f t="shared" si="6"/>
        <v>53017.274607544707</v>
      </c>
      <c r="E24" s="122">
        <f t="shared" si="1"/>
        <v>55137.9655918465</v>
      </c>
      <c r="F24" s="123"/>
      <c r="G24" s="122">
        <f t="shared" si="2"/>
        <v>97.5</v>
      </c>
      <c r="H24" s="122">
        <f t="shared" si="7"/>
        <v>-72.840558626389907</v>
      </c>
      <c r="I24" s="122">
        <f t="shared" si="3"/>
        <v>0.49318882747220189</v>
      </c>
      <c r="J24" s="124">
        <f>'Q2 Mortality table'!H46*ProMM</f>
        <v>5.7120000000000859E-3</v>
      </c>
      <c r="K24" s="122">
        <f t="shared" si="4"/>
        <v>0</v>
      </c>
      <c r="L24" s="122">
        <f t="shared" si="8"/>
        <v>0</v>
      </c>
      <c r="M24" s="122">
        <f t="shared" si="9"/>
        <v>25.152630201082296</v>
      </c>
    </row>
    <row r="25" spans="1:13" x14ac:dyDescent="0.35">
      <c r="A25" s="57">
        <v>21</v>
      </c>
      <c r="B25" s="122">
        <f t="shared" si="0"/>
        <v>1950</v>
      </c>
      <c r="C25" s="122">
        <f t="shared" si="5"/>
        <v>1852.5</v>
      </c>
      <c r="D25" s="122">
        <f t="shared" si="6"/>
        <v>56990.4655918465</v>
      </c>
      <c r="E25" s="122">
        <f t="shared" si="1"/>
        <v>59270.084215520365</v>
      </c>
      <c r="F25" s="123"/>
      <c r="G25" s="122">
        <f t="shared" si="2"/>
        <v>97.5</v>
      </c>
      <c r="H25" s="122">
        <f t="shared" si="7"/>
        <v>-74.297369798917714</v>
      </c>
      <c r="I25" s="122">
        <f t="shared" si="3"/>
        <v>0.46405260402164572</v>
      </c>
      <c r="J25" s="124">
        <f>'Q2 Mortality table'!H47*ProMM</f>
        <v>6.4176000000000554E-3</v>
      </c>
      <c r="K25" s="122">
        <f t="shared" si="4"/>
        <v>0</v>
      </c>
      <c r="L25" s="122">
        <f t="shared" si="8"/>
        <v>0</v>
      </c>
      <c r="M25" s="122">
        <f t="shared" si="9"/>
        <v>23.666682805103932</v>
      </c>
    </row>
    <row r="26" spans="1:13" x14ac:dyDescent="0.35">
      <c r="A26" s="57">
        <v>22</v>
      </c>
      <c r="B26" s="122">
        <f t="shared" si="0"/>
        <v>1950</v>
      </c>
      <c r="C26" s="122">
        <f t="shared" si="5"/>
        <v>1852.5</v>
      </c>
      <c r="D26" s="122">
        <f t="shared" si="6"/>
        <v>61122.584215520365</v>
      </c>
      <c r="E26" s="122">
        <f t="shared" si="1"/>
        <v>63567.487584141178</v>
      </c>
      <c r="F26" s="123"/>
      <c r="G26" s="122">
        <f t="shared" si="2"/>
        <v>97.5</v>
      </c>
      <c r="H26" s="122">
        <f t="shared" si="7"/>
        <v>-75.783317194896057</v>
      </c>
      <c r="I26" s="122">
        <f t="shared" si="3"/>
        <v>0.43433365610207886</v>
      </c>
      <c r="J26" s="124">
        <f>'Q2 Mortality table'!H48*ProMM</f>
        <v>7.2072000000001071E-3</v>
      </c>
      <c r="K26" s="122">
        <f t="shared" si="4"/>
        <v>0</v>
      </c>
      <c r="L26" s="122">
        <f t="shared" si="8"/>
        <v>0</v>
      </c>
      <c r="M26" s="122">
        <f t="shared" si="9"/>
        <v>22.151016461206023</v>
      </c>
    </row>
    <row r="27" spans="1:13" x14ac:dyDescent="0.35">
      <c r="A27" s="57">
        <v>23</v>
      </c>
      <c r="B27" s="122">
        <f t="shared" si="0"/>
        <v>1950</v>
      </c>
      <c r="C27" s="122">
        <f t="shared" si="5"/>
        <v>1852.5</v>
      </c>
      <c r="D27" s="122">
        <f t="shared" si="6"/>
        <v>65419.987584141178</v>
      </c>
      <c r="E27" s="122">
        <f t="shared" si="1"/>
        <v>68036.787087506833</v>
      </c>
      <c r="F27" s="123"/>
      <c r="G27" s="122">
        <f t="shared" si="2"/>
        <v>97.5</v>
      </c>
      <c r="H27" s="122">
        <f t="shared" si="7"/>
        <v>-77.298983538793991</v>
      </c>
      <c r="I27" s="122">
        <f t="shared" si="3"/>
        <v>0.40402032922412018</v>
      </c>
      <c r="J27" s="124">
        <f>'Q2 Mortality table'!H49*ProMM</f>
        <v>8.0895999999999416E-3</v>
      </c>
      <c r="K27" s="122">
        <f t="shared" si="4"/>
        <v>0</v>
      </c>
      <c r="L27" s="122">
        <f t="shared" si="8"/>
        <v>0</v>
      </c>
      <c r="M27" s="122">
        <f t="shared" si="9"/>
        <v>20.60503679043013</v>
      </c>
    </row>
    <row r="28" spans="1:13" x14ac:dyDescent="0.35">
      <c r="A28" s="57">
        <v>24</v>
      </c>
      <c r="B28" s="122">
        <f t="shared" si="0"/>
        <v>1950</v>
      </c>
      <c r="C28" s="122">
        <f t="shared" si="5"/>
        <v>1852.5</v>
      </c>
      <c r="D28" s="122">
        <f t="shared" si="6"/>
        <v>69889.287087506833</v>
      </c>
      <c r="E28" s="122">
        <f t="shared" si="1"/>
        <v>72684.858571007106</v>
      </c>
      <c r="F28" s="123"/>
      <c r="G28" s="122">
        <f t="shared" si="2"/>
        <v>97.5</v>
      </c>
      <c r="H28" s="122">
        <f t="shared" si="7"/>
        <v>-78.844963209569855</v>
      </c>
      <c r="I28" s="122">
        <f t="shared" si="3"/>
        <v>0.37310073580860292</v>
      </c>
      <c r="J28" s="124">
        <f>'Q2 Mortality table'!H50*ProMM</f>
        <v>9.075200000000009E-3</v>
      </c>
      <c r="K28" s="122">
        <f t="shared" si="4"/>
        <v>0</v>
      </c>
      <c r="L28" s="122">
        <f t="shared" si="8"/>
        <v>0</v>
      </c>
      <c r="M28" s="122">
        <f t="shared" si="9"/>
        <v>19.028137526238748</v>
      </c>
    </row>
    <row r="29" spans="1:13" x14ac:dyDescent="0.35">
      <c r="A29" s="57">
        <v>25</v>
      </c>
      <c r="B29" s="122">
        <f t="shared" si="0"/>
        <v>1950</v>
      </c>
      <c r="C29" s="122">
        <f t="shared" si="5"/>
        <v>1852.5</v>
      </c>
      <c r="D29" s="122">
        <f t="shared" si="6"/>
        <v>74537.358571007106</v>
      </c>
      <c r="E29" s="122">
        <f t="shared" si="1"/>
        <v>77518.852913847397</v>
      </c>
      <c r="F29" s="123"/>
      <c r="G29" s="122">
        <f t="shared" si="2"/>
        <v>97.5</v>
      </c>
      <c r="H29" s="122">
        <f t="shared" si="7"/>
        <v>-80.421862473761252</v>
      </c>
      <c r="I29" s="122">
        <f t="shared" si="3"/>
        <v>0.34156275052477497</v>
      </c>
      <c r="J29" s="124">
        <f>'Q2 Mortality table'!H51*ProMM</f>
        <v>1.0172799999999897E-2</v>
      </c>
      <c r="K29" s="122">
        <f t="shared" si="4"/>
        <v>0</v>
      </c>
      <c r="L29" s="122">
        <f t="shared" si="8"/>
        <v>0</v>
      </c>
      <c r="M29" s="122">
        <f t="shared" si="9"/>
        <v>17.419700276763525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zoomScaleNormal="100" workbookViewId="0">
      <selection activeCell="A4" sqref="A4"/>
    </sheetView>
  </sheetViews>
  <sheetFormatPr defaultColWidth="9.36328125" defaultRowHeight="14.5" x14ac:dyDescent="0.35"/>
  <sheetData>
    <row r="1" spans="1:1" s="28" customFormat="1" ht="21" x14ac:dyDescent="0.5">
      <c r="A1" s="23"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zoomScaleNormal="100" workbookViewId="0">
      <selection activeCell="B20" sqref="B20"/>
    </sheetView>
  </sheetViews>
  <sheetFormatPr defaultRowHeight="14.5" x14ac:dyDescent="0.35"/>
  <cols>
    <col min="1" max="1" width="3.6328125" customWidth="1"/>
    <col min="2" max="2" width="34.453125" customWidth="1"/>
    <col min="3" max="3" width="21.453125" customWidth="1"/>
    <col min="4" max="4" width="38.81640625" customWidth="1"/>
    <col min="7" max="7" width="10.81640625" customWidth="1"/>
  </cols>
  <sheetData>
    <row r="1" spans="1:14" ht="26" x14ac:dyDescent="0.35">
      <c r="A1" s="21" t="str">
        <f>Instructions!A1</f>
        <v>Subject CM1: Assignment Y2</v>
      </c>
    </row>
    <row r="2" spans="1:14" ht="16.25" customHeight="1" x14ac:dyDescent="0.35">
      <c r="A2" s="21"/>
      <c r="B2" s="1"/>
      <c r="C2" s="1"/>
      <c r="D2" s="1"/>
      <c r="E2" s="1"/>
      <c r="F2" s="1"/>
      <c r="G2" s="1"/>
      <c r="H2" s="1"/>
      <c r="I2" s="1"/>
      <c r="J2" s="1"/>
      <c r="K2" s="1"/>
      <c r="L2" s="1"/>
      <c r="M2" s="1"/>
      <c r="N2" s="1"/>
    </row>
    <row r="3" spans="1:14" ht="23.5" x14ac:dyDescent="0.35">
      <c r="A3" s="22" t="str">
        <f>Instructions!A3</f>
        <v>2025 Examinations</v>
      </c>
    </row>
    <row r="5" spans="1:14" x14ac:dyDescent="0.35">
      <c r="D5" s="4" t="s">
        <v>154</v>
      </c>
      <c r="E5" s="11"/>
      <c r="F5" s="12"/>
    </row>
    <row r="7" spans="1:14" x14ac:dyDescent="0.35">
      <c r="B7" s="9" t="s">
        <v>162</v>
      </c>
      <c r="D7" s="4" t="s">
        <v>13</v>
      </c>
    </row>
    <row r="8" spans="1:14" x14ac:dyDescent="0.35">
      <c r="D8" s="4" t="s">
        <v>14</v>
      </c>
      <c r="E8" s="11"/>
      <c r="F8" s="12"/>
    </row>
    <row r="9" spans="1:14" x14ac:dyDescent="0.35">
      <c r="D9" s="3"/>
    </row>
    <row r="10" spans="1:14" x14ac:dyDescent="0.35">
      <c r="D10" s="131" t="s">
        <v>152</v>
      </c>
    </row>
    <row r="11" spans="1:14" x14ac:dyDescent="0.35">
      <c r="D11" s="132"/>
      <c r="E11" s="133"/>
      <c r="F11" s="134"/>
    </row>
    <row r="13" spans="1:14" x14ac:dyDescent="0.35">
      <c r="D13" s="4" t="s">
        <v>5</v>
      </c>
    </row>
    <row r="14" spans="1:14" x14ac:dyDescent="0.35">
      <c r="D14" s="4"/>
    </row>
    <row r="15" spans="1:14" x14ac:dyDescent="0.35">
      <c r="D15" s="3" t="s">
        <v>10</v>
      </c>
    </row>
    <row r="16" spans="1:14" x14ac:dyDescent="0.35">
      <c r="D16" s="4" t="s">
        <v>11</v>
      </c>
    </row>
    <row r="17" spans="1:4" x14ac:dyDescent="0.35">
      <c r="D17" s="4"/>
    </row>
    <row r="18" spans="1:4" x14ac:dyDescent="0.35">
      <c r="A18" s="5" t="s">
        <v>12</v>
      </c>
    </row>
    <row r="19" spans="1:4" x14ac:dyDescent="0.35">
      <c r="B19" s="27" t="s">
        <v>167</v>
      </c>
    </row>
    <row r="20" spans="1:4" x14ac:dyDescent="0.35">
      <c r="B20" s="6" t="s">
        <v>6</v>
      </c>
    </row>
    <row r="21" spans="1:4" x14ac:dyDescent="0.35">
      <c r="B21" s="6" t="s">
        <v>155</v>
      </c>
    </row>
    <row r="22" spans="1:4" x14ac:dyDescent="0.35">
      <c r="B22" s="6" t="s">
        <v>163</v>
      </c>
    </row>
    <row r="23" spans="1:4" x14ac:dyDescent="0.35">
      <c r="B23" s="6" t="s">
        <v>164</v>
      </c>
    </row>
    <row r="24" spans="1:4" x14ac:dyDescent="0.35">
      <c r="B24" s="4" t="s">
        <v>153</v>
      </c>
    </row>
    <row r="25" spans="1:4" x14ac:dyDescent="0.35">
      <c r="B25" s="4" t="s">
        <v>19</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8194" r:id="rId5" name="Check Box 2">
              <controlPr defaultSize="0" autoFill="0" autoLine="0" autoPict="0" altText="latest version">
                <anchor moveWithCells="1">
                  <from>
                    <xdr:col>0</xdr:col>
                    <xdr:colOff>0</xdr:colOff>
                    <xdr:row>18</xdr:row>
                    <xdr:rowOff>177800</xdr:rowOff>
                  </from>
                  <to>
                    <xdr:col>0</xdr:col>
                    <xdr:colOff>241300</xdr:colOff>
                    <xdr:row>20</xdr:row>
                    <xdr:rowOff>31750</xdr:rowOff>
                  </to>
                </anchor>
              </controlPr>
            </control>
          </mc:Choice>
        </mc:AlternateContent>
        <mc:AlternateContent xmlns:mc="http://schemas.openxmlformats.org/markup-compatibility/2006">
          <mc:Choice Requires="x14">
            <control shapeId="8195" r:id="rId6" name="Check Box 3">
              <controlPr defaultSize="0" autoFill="0" autoLine="0" autoPict="0" altText="latest version">
                <anchor moveWithCells="1">
                  <from>
                    <xdr:col>0</xdr:col>
                    <xdr:colOff>0</xdr:colOff>
                    <xdr:row>19</xdr:row>
                    <xdr:rowOff>0</xdr:rowOff>
                  </from>
                  <to>
                    <xdr:col>0</xdr:col>
                    <xdr:colOff>241300</xdr:colOff>
                    <xdr:row>20</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ltText="latest version">
                <anchor moveWithCells="1">
                  <from>
                    <xdr:col>0</xdr:col>
                    <xdr:colOff>0</xdr:colOff>
                    <xdr:row>20</xdr:row>
                    <xdr:rowOff>177800</xdr:rowOff>
                  </from>
                  <to>
                    <xdr:col>0</xdr:col>
                    <xdr:colOff>241300</xdr:colOff>
                    <xdr:row>22</xdr:row>
                    <xdr:rowOff>31750</xdr:rowOff>
                  </to>
                </anchor>
              </controlPr>
            </control>
          </mc:Choice>
        </mc:AlternateContent>
        <mc:AlternateContent xmlns:mc="http://schemas.openxmlformats.org/markup-compatibility/2006">
          <mc:Choice Requires="x14">
            <control shapeId="8197" r:id="rId8" name="Check Box 5">
              <controlPr defaultSize="0" autoFill="0" autoLine="0" autoPict="0" altText="latest version">
                <anchor moveWithCells="1">
                  <from>
                    <xdr:col>0</xdr:col>
                    <xdr:colOff>0</xdr:colOff>
                    <xdr:row>19</xdr:row>
                    <xdr:rowOff>165100</xdr:rowOff>
                  </from>
                  <to>
                    <xdr:col>0</xdr:col>
                    <xdr:colOff>241300</xdr:colOff>
                    <xdr:row>21</xdr:row>
                    <xdr:rowOff>25400</xdr:rowOff>
                  </to>
                </anchor>
              </controlPr>
            </control>
          </mc:Choice>
        </mc:AlternateContent>
        <mc:AlternateContent xmlns:mc="http://schemas.openxmlformats.org/markup-compatibility/2006">
          <mc:Choice Requires="x14">
            <control shapeId="8198" r:id="rId9" name="Check Box 6">
              <controlPr defaultSize="0" autoFill="0" autoLine="0" autoPict="0" altText="latest version">
                <anchor moveWithCells="1">
                  <from>
                    <xdr:col>0</xdr:col>
                    <xdr:colOff>0</xdr:colOff>
                    <xdr:row>23</xdr:row>
                    <xdr:rowOff>0</xdr:rowOff>
                  </from>
                  <to>
                    <xdr:col>0</xdr:col>
                    <xdr:colOff>241300</xdr:colOff>
                    <xdr:row>24</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101600</xdr:colOff>
                    <xdr:row>3</xdr:row>
                    <xdr:rowOff>177800</xdr:rowOff>
                  </from>
                  <to>
                    <xdr:col>4</xdr:col>
                    <xdr:colOff>431800</xdr:colOff>
                    <xdr:row>5</xdr:row>
                    <xdr:rowOff>12700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101600</xdr:colOff>
                    <xdr:row>3</xdr:row>
                    <xdr:rowOff>177800</xdr:rowOff>
                  </from>
                  <to>
                    <xdr:col>5</xdr:col>
                    <xdr:colOff>419100</xdr:colOff>
                    <xdr:row>5</xdr:row>
                    <xdr:rowOff>12700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101600</xdr:colOff>
                    <xdr:row>6</xdr:row>
                    <xdr:rowOff>177800</xdr:rowOff>
                  </from>
                  <to>
                    <xdr:col>4</xdr:col>
                    <xdr:colOff>431800</xdr:colOff>
                    <xdr:row>8</xdr:row>
                    <xdr:rowOff>12700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101600</xdr:colOff>
                    <xdr:row>6</xdr:row>
                    <xdr:rowOff>177800</xdr:rowOff>
                  </from>
                  <to>
                    <xdr:col>5</xdr:col>
                    <xdr:colOff>419100</xdr:colOff>
                    <xdr:row>8</xdr:row>
                    <xdr:rowOff>12700</xdr:rowOff>
                  </to>
                </anchor>
              </controlPr>
            </control>
          </mc:Choice>
        </mc:AlternateContent>
        <mc:AlternateContent xmlns:mc="http://schemas.openxmlformats.org/markup-compatibility/2006">
          <mc:Choice Requires="x14">
            <control shapeId="8207" r:id="rId14" name="Check Box 15">
              <controlPr defaultSize="0" autoFill="0" autoLine="0" autoPict="0" altText="latest version">
                <anchor moveWithCells="1">
                  <from>
                    <xdr:col>0</xdr:col>
                    <xdr:colOff>0</xdr:colOff>
                    <xdr:row>23</xdr:row>
                    <xdr:rowOff>0</xdr:rowOff>
                  </from>
                  <to>
                    <xdr:col>0</xdr:col>
                    <xdr:colOff>241300</xdr:colOff>
                    <xdr:row>24</xdr:row>
                    <xdr:rowOff>50800</xdr:rowOff>
                  </to>
                </anchor>
              </controlPr>
            </control>
          </mc:Choice>
        </mc:AlternateContent>
        <mc:AlternateContent xmlns:mc="http://schemas.openxmlformats.org/markup-compatibility/2006">
          <mc:Choice Requires="x14">
            <control shapeId="8208" r:id="rId15" name="Check Box 16">
              <controlPr defaultSize="0" autoFill="0" autoLine="0" autoPict="0" altText="latest version">
                <anchor moveWithCells="1">
                  <from>
                    <xdr:col>0</xdr:col>
                    <xdr:colOff>0</xdr:colOff>
                    <xdr:row>24</xdr:row>
                    <xdr:rowOff>0</xdr:rowOff>
                  </from>
                  <to>
                    <xdr:col>0</xdr:col>
                    <xdr:colOff>241300</xdr:colOff>
                    <xdr:row>25</xdr:row>
                    <xdr:rowOff>50800</xdr:rowOff>
                  </to>
                </anchor>
              </controlPr>
            </control>
          </mc:Choice>
        </mc:AlternateContent>
        <mc:AlternateContent xmlns:mc="http://schemas.openxmlformats.org/markup-compatibility/2006">
          <mc:Choice Requires="x14">
            <control shapeId="8209" r:id="rId16" name="Check Box 17">
              <controlPr defaultSize="0" autoFill="0" autoLine="0" autoPict="0" altText="latest version">
                <anchor moveWithCells="1">
                  <from>
                    <xdr:col>0</xdr:col>
                    <xdr:colOff>0</xdr:colOff>
                    <xdr:row>21</xdr:row>
                    <xdr:rowOff>177800</xdr:rowOff>
                  </from>
                  <to>
                    <xdr:col>0</xdr:col>
                    <xdr:colOff>241300</xdr:colOff>
                    <xdr:row>23</xdr:row>
                    <xdr:rowOff>31750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A4" sqref="A4"/>
    </sheetView>
  </sheetViews>
  <sheetFormatPr defaultColWidth="9.81640625" defaultRowHeight="14.5" x14ac:dyDescent="0.35"/>
  <sheetData>
    <row r="1" spans="1:1" s="28" customFormat="1" ht="21" x14ac:dyDescent="0.5">
      <c r="A1" s="23" t="s">
        <v>147</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A4" sqref="A4"/>
    </sheetView>
  </sheetViews>
  <sheetFormatPr defaultColWidth="10.36328125" defaultRowHeight="14.5" x14ac:dyDescent="0.35"/>
  <sheetData>
    <row r="1" spans="1:1" s="28" customFormat="1" ht="21" x14ac:dyDescent="0.5">
      <c r="A1" s="23" t="s">
        <v>148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3"/>
  <sheetViews>
    <sheetView zoomScaleNormal="100" workbookViewId="0">
      <selection activeCell="A4" sqref="A4"/>
    </sheetView>
  </sheetViews>
  <sheetFormatPr defaultColWidth="8.1796875" defaultRowHeight="14.5" x14ac:dyDescent="0.35"/>
  <cols>
    <col min="1" max="1" width="5.6328125" customWidth="1"/>
  </cols>
  <sheetData>
    <row r="1" spans="1:28" s="28" customFormat="1" ht="21" x14ac:dyDescent="0.5">
      <c r="A1" s="23" t="s">
        <v>149</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3" spans="1:28" x14ac:dyDescent="0.35">
      <c r="A3"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9"/>
  <sheetViews>
    <sheetView workbookViewId="0">
      <selection activeCell="A4" sqref="A4"/>
    </sheetView>
  </sheetViews>
  <sheetFormatPr defaultColWidth="11.81640625" defaultRowHeight="14.5" x14ac:dyDescent="0.35"/>
  <cols>
    <col min="2" max="2" width="1.453125" customWidth="1"/>
  </cols>
  <sheetData>
    <row r="1" spans="1:8" s="28" customFormat="1" ht="21" x14ac:dyDescent="0.5">
      <c r="A1" s="23" t="s">
        <v>23</v>
      </c>
    </row>
    <row r="2" spans="1:8" x14ac:dyDescent="0.35">
      <c r="A2" s="29"/>
      <c r="B2" s="30"/>
      <c r="C2" s="30"/>
      <c r="D2" s="30"/>
      <c r="E2" s="30"/>
      <c r="F2" s="30"/>
      <c r="G2" s="30"/>
      <c r="H2" s="30"/>
    </row>
    <row r="3" spans="1:8" x14ac:dyDescent="0.35">
      <c r="A3" s="31" t="s">
        <v>24</v>
      </c>
      <c r="B3" s="30"/>
      <c r="C3" s="32" t="s">
        <v>25</v>
      </c>
      <c r="D3" s="32" t="s">
        <v>26</v>
      </c>
      <c r="E3" s="32" t="s">
        <v>27</v>
      </c>
      <c r="F3" s="32" t="s">
        <v>28</v>
      </c>
      <c r="G3" s="32" t="s">
        <v>29</v>
      </c>
      <c r="H3" s="32" t="s">
        <v>30</v>
      </c>
    </row>
    <row r="4" spans="1:8" x14ac:dyDescent="0.35">
      <c r="A4" s="32">
        <v>17</v>
      </c>
      <c r="B4" s="33"/>
      <c r="C4" s="34">
        <f>9997.8091</f>
        <v>9997.8091000000004</v>
      </c>
      <c r="D4" s="34"/>
      <c r="E4" s="34">
        <v>10000</v>
      </c>
      <c r="F4" s="35">
        <f t="shared" ref="F4:G35" si="0">(C4-D5)/C4</f>
        <v>4.2700355220820583E-4</v>
      </c>
      <c r="G4" s="35"/>
      <c r="H4" s="35">
        <f t="shared" ref="H4:H67" si="1">(E4-E5)/E4</f>
        <v>5.9999999999999995E-4</v>
      </c>
    </row>
    <row r="5" spans="1:8" x14ac:dyDescent="0.35">
      <c r="A5" s="32">
        <v>18</v>
      </c>
      <c r="B5" s="33"/>
      <c r="C5" s="34">
        <f>9991.8904</f>
        <v>9991.8904000000002</v>
      </c>
      <c r="D5" s="34">
        <f>9993.54</f>
        <v>9993.5400000000009</v>
      </c>
      <c r="E5" s="34">
        <v>9994</v>
      </c>
      <c r="F5" s="35">
        <f t="shared" si="0"/>
        <v>4.2600547339876916E-4</v>
      </c>
      <c r="G5" s="35">
        <f t="shared" si="0"/>
        <v>5.4799760645385224E-4</v>
      </c>
      <c r="H5" s="35">
        <f t="shared" si="1"/>
        <v>5.9399999999999579E-4</v>
      </c>
    </row>
    <row r="6" spans="1:8" x14ac:dyDescent="0.35">
      <c r="A6" s="32">
        <v>19</v>
      </c>
      <c r="B6" s="33"/>
      <c r="C6" s="34">
        <f>9986.0351</f>
        <v>9986.0350999999991</v>
      </c>
      <c r="D6" s="34">
        <f>9987.6338</f>
        <v>9987.6337999999996</v>
      </c>
      <c r="E6" s="34">
        <v>9988.063564</v>
      </c>
      <c r="F6" s="35">
        <f t="shared" si="0"/>
        <v>4.2499349917153584E-4</v>
      </c>
      <c r="G6" s="35">
        <f t="shared" si="0"/>
        <v>5.4399564710390683E-4</v>
      </c>
      <c r="H6" s="35">
        <f t="shared" si="1"/>
        <v>5.8700000000002836E-4</v>
      </c>
    </row>
    <row r="7" spans="1:8" x14ac:dyDescent="0.35">
      <c r="A7" s="32">
        <v>20</v>
      </c>
      <c r="B7" s="33"/>
      <c r="C7" s="34">
        <f>9980.2432</f>
        <v>9980.2432000000008</v>
      </c>
      <c r="D7" s="34">
        <f>9981.7911</f>
        <v>9981.7911000000004</v>
      </c>
      <c r="E7" s="34">
        <v>9982.2005706879318</v>
      </c>
      <c r="F7" s="35">
        <f t="shared" si="0"/>
        <v>4.2499966333497751E-4</v>
      </c>
      <c r="G7" s="35">
        <f t="shared" si="0"/>
        <v>5.4100210975257905E-4</v>
      </c>
      <c r="H7" s="35">
        <f t="shared" si="1"/>
        <v>5.8200000000005307E-4</v>
      </c>
    </row>
    <row r="8" spans="1:8" x14ac:dyDescent="0.35">
      <c r="A8" s="32">
        <v>21</v>
      </c>
      <c r="B8" s="33"/>
      <c r="C8" s="34">
        <f>9974.5046</f>
        <v>9974.5046000000002</v>
      </c>
      <c r="D8" s="34">
        <f>9976.0016</f>
        <v>9976.0015999999996</v>
      </c>
      <c r="E8" s="34">
        <v>9976.3909299557909</v>
      </c>
      <c r="F8" s="35">
        <f t="shared" si="0"/>
        <v>4.2500356358550202E-4</v>
      </c>
      <c r="G8" s="35">
        <f t="shared" si="0"/>
        <v>5.379958650762991E-4</v>
      </c>
      <c r="H8" s="35">
        <f t="shared" si="1"/>
        <v>5.770000000001309E-4</v>
      </c>
    </row>
    <row r="9" spans="1:8" x14ac:dyDescent="0.35">
      <c r="A9" s="32">
        <v>22</v>
      </c>
      <c r="B9" s="33"/>
      <c r="C9" s="34">
        <f>9968.8391</f>
        <v>9968.8390999999992</v>
      </c>
      <c r="D9" s="34">
        <f>9970.2654</f>
        <v>9970.2654000000002</v>
      </c>
      <c r="E9" s="34">
        <v>9970.6345523892051</v>
      </c>
      <c r="F9" s="35">
        <f t="shared" si="0"/>
        <v>4.2700057221305837E-4</v>
      </c>
      <c r="G9" s="35">
        <f t="shared" si="0"/>
        <v>5.3499584622510965E-4</v>
      </c>
      <c r="H9" s="35">
        <f t="shared" si="1"/>
        <v>5.7200000000001347E-4</v>
      </c>
    </row>
    <row r="10" spans="1:8" x14ac:dyDescent="0.35">
      <c r="A10" s="32">
        <v>23</v>
      </c>
      <c r="B10" s="33"/>
      <c r="C10" s="34">
        <f>9963.1967</f>
        <v>9963.1967000000004</v>
      </c>
      <c r="D10" s="34">
        <f>9964.5824</f>
        <v>9964.5823999999993</v>
      </c>
      <c r="E10" s="34">
        <v>9964.9313494252383</v>
      </c>
      <c r="F10" s="35">
        <f t="shared" si="0"/>
        <v>4.2899885736470873E-4</v>
      </c>
      <c r="G10" s="35">
        <f t="shared" si="0"/>
        <v>5.3400095447889606E-4</v>
      </c>
      <c r="H10" s="35">
        <f t="shared" si="1"/>
        <v>5.6899999999996168E-4</v>
      </c>
    </row>
    <row r="11" spans="1:8" x14ac:dyDescent="0.35">
      <c r="A11" s="32">
        <v>24</v>
      </c>
      <c r="B11" s="33"/>
      <c r="C11" s="34">
        <f>9957.5775</f>
        <v>9957.5774999999994</v>
      </c>
      <c r="D11" s="34">
        <f>9958.9225</f>
        <v>9958.9225000000006</v>
      </c>
      <c r="E11" s="34">
        <v>9959.2613034874157</v>
      </c>
      <c r="F11" s="35">
        <f t="shared" si="0"/>
        <v>4.3099840297499716E-4</v>
      </c>
      <c r="G11" s="35">
        <f t="shared" si="0"/>
        <v>5.329991946079343E-4</v>
      </c>
      <c r="H11" s="35">
        <f t="shared" si="1"/>
        <v>5.6700000000006084E-4</v>
      </c>
    </row>
    <row r="12" spans="1:8" x14ac:dyDescent="0.35">
      <c r="A12" s="32">
        <v>25</v>
      </c>
      <c r="B12" s="33"/>
      <c r="C12" s="34">
        <f>9951.9913</f>
        <v>9951.9912999999997</v>
      </c>
      <c r="D12" s="34">
        <f>9953.2858</f>
        <v>9953.2857999999997</v>
      </c>
      <c r="E12" s="34">
        <v>9953.6144023283377</v>
      </c>
      <c r="F12" s="35">
        <f t="shared" si="0"/>
        <v>4.3499837062749606E-4</v>
      </c>
      <c r="G12" s="35">
        <f t="shared" si="0"/>
        <v>5.3300422895306268E-4</v>
      </c>
      <c r="H12" s="35">
        <f t="shared" si="1"/>
        <v>5.6599999999987151E-4</v>
      </c>
    </row>
    <row r="13" spans="1:8" x14ac:dyDescent="0.35">
      <c r="A13" s="32">
        <v>26</v>
      </c>
      <c r="B13" s="33"/>
      <c r="C13" s="34">
        <f>9946.3982</f>
        <v>9946.3981999999996</v>
      </c>
      <c r="D13" s="34">
        <f>9947.6622</f>
        <v>9947.6622000000007</v>
      </c>
      <c r="E13" s="34">
        <v>9947.9806565766212</v>
      </c>
      <c r="F13" s="35">
        <f t="shared" si="0"/>
        <v>4.3999847100422682E-4</v>
      </c>
      <c r="G13" s="35">
        <f t="shared" si="0"/>
        <v>5.3500494374031512E-4</v>
      </c>
      <c r="H13" s="35">
        <f t="shared" si="1"/>
        <v>5.6700000000002365E-4</v>
      </c>
    </row>
    <row r="14" spans="1:8" x14ac:dyDescent="0.35">
      <c r="A14" s="32">
        <v>27</v>
      </c>
      <c r="B14" s="33"/>
      <c r="C14" s="34">
        <f>9940.7984</f>
        <v>9940.7983999999997</v>
      </c>
      <c r="D14" s="34">
        <f>9942.0218</f>
        <v>9942.0218000000004</v>
      </c>
      <c r="E14" s="34">
        <v>9942.340151544342</v>
      </c>
      <c r="F14" s="35">
        <f t="shared" si="0"/>
        <v>4.4699628955350342E-4</v>
      </c>
      <c r="G14" s="35">
        <f t="shared" si="0"/>
        <v>5.3799744655943604E-4</v>
      </c>
      <c r="H14" s="35">
        <f t="shared" si="1"/>
        <v>5.6999999999995379E-4</v>
      </c>
    </row>
    <row r="15" spans="1:8" x14ac:dyDescent="0.35">
      <c r="A15" s="32">
        <v>28</v>
      </c>
      <c r="B15" s="33"/>
      <c r="C15" s="34">
        <f>9935.1818</f>
        <v>9935.1818000000003</v>
      </c>
      <c r="D15" s="34">
        <f>9936.3549</f>
        <v>9936.3549000000003</v>
      </c>
      <c r="E15" s="34">
        <v>9936.6730176579622</v>
      </c>
      <c r="F15" s="35">
        <f t="shared" si="0"/>
        <v>4.5499922306409512E-4</v>
      </c>
      <c r="G15" s="35">
        <f t="shared" si="0"/>
        <v>5.4200284796313925E-4</v>
      </c>
      <c r="H15" s="35">
        <f t="shared" si="1"/>
        <v>5.7399999999987355E-4</v>
      </c>
    </row>
    <row r="16" spans="1:8" x14ac:dyDescent="0.35">
      <c r="A16" s="32">
        <v>29</v>
      </c>
      <c r="B16" s="33"/>
      <c r="C16" s="34">
        <f>9929.5088</f>
        <v>9929.5087999999996</v>
      </c>
      <c r="D16" s="34">
        <f>9930.6613</f>
        <v>9930.6612999999998</v>
      </c>
      <c r="E16" s="34">
        <v>9930.9693673458278</v>
      </c>
      <c r="F16" s="35">
        <f t="shared" si="0"/>
        <v>4.649978254713642E-4</v>
      </c>
      <c r="G16" s="35">
        <f t="shared" si="0"/>
        <v>5.4899615670427721E-4</v>
      </c>
      <c r="H16" s="35">
        <f t="shared" si="1"/>
        <v>5.7999999999993387E-4</v>
      </c>
    </row>
    <row r="17" spans="1:8" x14ac:dyDescent="0.35">
      <c r="A17" s="32">
        <v>30</v>
      </c>
      <c r="B17" s="33"/>
      <c r="C17" s="34">
        <f>9923.7497</f>
        <v>9923.7497000000003</v>
      </c>
      <c r="D17" s="34">
        <f>9924.8916</f>
        <v>9924.8916000000008</v>
      </c>
      <c r="E17" s="34">
        <v>9925.2094051127679</v>
      </c>
      <c r="F17" s="35">
        <f t="shared" si="0"/>
        <v>4.7599951054795977E-4</v>
      </c>
      <c r="G17" s="35">
        <f t="shared" si="0"/>
        <v>5.5799787639493077E-4</v>
      </c>
      <c r="H17" s="35">
        <f t="shared" si="1"/>
        <v>5.9000000000003754E-4</v>
      </c>
    </row>
    <row r="18" spans="1:8" x14ac:dyDescent="0.35">
      <c r="A18" s="32">
        <v>31</v>
      </c>
      <c r="B18" s="33"/>
      <c r="C18" s="34">
        <f>9917.9145</f>
        <v>9917.9145000000008</v>
      </c>
      <c r="D18" s="34">
        <f>9919.026</f>
        <v>9919.0259999999998</v>
      </c>
      <c r="E18" s="34">
        <v>9919.3535315637509</v>
      </c>
      <c r="F18" s="35">
        <f t="shared" si="0"/>
        <v>4.900022076213883E-4</v>
      </c>
      <c r="G18" s="35">
        <f t="shared" si="0"/>
        <v>5.6899934149291212E-4</v>
      </c>
      <c r="H18" s="35">
        <f t="shared" si="1"/>
        <v>6.020000000000812E-4</v>
      </c>
    </row>
    <row r="19" spans="1:8" x14ac:dyDescent="0.35">
      <c r="A19" s="32">
        <v>32</v>
      </c>
      <c r="B19" s="33"/>
      <c r="C19" s="34">
        <f>9911.9538</f>
        <v>9911.9537999999993</v>
      </c>
      <c r="D19" s="34">
        <f>9913.0547</f>
        <v>9913.0547000000006</v>
      </c>
      <c r="E19" s="34">
        <v>9913.3820807377488</v>
      </c>
      <c r="F19" s="35">
        <f t="shared" si="0"/>
        <v>5.0699388853076921E-4</v>
      </c>
      <c r="G19" s="35">
        <f t="shared" si="0"/>
        <v>5.8399516408060926E-4</v>
      </c>
      <c r="H19" s="35">
        <f t="shared" si="1"/>
        <v>6.1699999999995309E-4</v>
      </c>
    </row>
    <row r="20" spans="1:8" x14ac:dyDescent="0.35">
      <c r="A20" s="32">
        <v>33</v>
      </c>
      <c r="B20" s="33"/>
      <c r="C20" s="34">
        <f>9905.8282</f>
        <v>9905.8281999999999</v>
      </c>
      <c r="D20" s="34">
        <f>9906.9285</f>
        <v>9906.9285</v>
      </c>
      <c r="E20" s="34">
        <v>9907.265523993934</v>
      </c>
      <c r="F20" s="35">
        <f t="shared" si="0"/>
        <v>5.2700288099082461E-4</v>
      </c>
      <c r="G20" s="35">
        <f t="shared" si="0"/>
        <v>6.0200261658548864E-4</v>
      </c>
      <c r="H20" s="35">
        <f t="shared" si="1"/>
        <v>6.3599999999992547E-4</v>
      </c>
    </row>
    <row r="21" spans="1:8" x14ac:dyDescent="0.35">
      <c r="A21" s="32">
        <v>34</v>
      </c>
      <c r="B21" s="33"/>
      <c r="C21" s="34">
        <f>9899.4984</f>
        <v>9899.4984000000004</v>
      </c>
      <c r="D21" s="34">
        <f>9900.6078</f>
        <v>9900.6077999999998</v>
      </c>
      <c r="E21" s="34">
        <v>9900.9645031206746</v>
      </c>
      <c r="F21" s="35">
        <f t="shared" si="0"/>
        <v>5.5000766503493991E-4</v>
      </c>
      <c r="G21" s="35">
        <f t="shared" si="0"/>
        <v>6.2399537242399281E-4</v>
      </c>
      <c r="H21" s="35">
        <f t="shared" si="1"/>
        <v>6.6000000000001095E-4</v>
      </c>
    </row>
    <row r="22" spans="1:8" x14ac:dyDescent="0.35">
      <c r="A22" s="32">
        <v>35</v>
      </c>
      <c r="B22" s="33"/>
      <c r="C22" s="34">
        <f>9892.9151</f>
        <v>9892.9151000000002</v>
      </c>
      <c r="D22" s="34">
        <f>9894.0536</f>
        <v>9894.0535999999993</v>
      </c>
      <c r="E22" s="34">
        <v>9894.4298665486149</v>
      </c>
      <c r="F22" s="35">
        <f t="shared" si="0"/>
        <v>5.7699878572706469E-4</v>
      </c>
      <c r="G22" s="35">
        <f t="shared" si="0"/>
        <v>6.5099663796410574E-4</v>
      </c>
      <c r="H22" s="35">
        <f t="shared" si="1"/>
        <v>6.8900000000002672E-4</v>
      </c>
    </row>
    <row r="23" spans="1:8" x14ac:dyDescent="0.35">
      <c r="A23" s="32">
        <v>36</v>
      </c>
      <c r="B23" s="33"/>
      <c r="C23" s="34">
        <f>9886.0395</f>
        <v>9886.0395000000008</v>
      </c>
      <c r="D23" s="34">
        <f>9887.2069</f>
        <v>9887.2068999999992</v>
      </c>
      <c r="E23" s="34">
        <v>9887.6126043705626</v>
      </c>
      <c r="F23" s="35">
        <f t="shared" si="0"/>
        <v>6.0799878454872894E-4</v>
      </c>
      <c r="G23" s="35">
        <f t="shared" si="0"/>
        <v>6.829964441222616E-4</v>
      </c>
      <c r="H23" s="35">
        <f t="shared" si="1"/>
        <v>7.2400000000002031E-4</v>
      </c>
    </row>
    <row r="24" spans="1:8" x14ac:dyDescent="0.35">
      <c r="A24" s="32">
        <v>37</v>
      </c>
      <c r="B24" s="33"/>
      <c r="C24" s="34">
        <f>9878.8128</f>
        <v>9878.8127999999997</v>
      </c>
      <c r="D24" s="34">
        <f>9880.0288</f>
        <v>9880.0288</v>
      </c>
      <c r="E24" s="34">
        <v>9880.4539728449981</v>
      </c>
      <c r="F24" s="35">
        <f t="shared" si="0"/>
        <v>6.4400451033945808E-4</v>
      </c>
      <c r="G24" s="35">
        <f t="shared" si="0"/>
        <v>7.2199935735299157E-4</v>
      </c>
      <c r="H24" s="35">
        <f t="shared" si="1"/>
        <v>7.6500000000007205E-4</v>
      </c>
    </row>
    <row r="25" spans="1:8" x14ac:dyDescent="0.35">
      <c r="A25" s="32">
        <v>38</v>
      </c>
      <c r="B25" s="33"/>
      <c r="C25" s="34">
        <f>9871.1665</f>
        <v>9871.1664999999994</v>
      </c>
      <c r="D25" s="34">
        <f>9872.4508</f>
        <v>9872.4508000000005</v>
      </c>
      <c r="E25" s="34">
        <v>9872.895425555771</v>
      </c>
      <c r="F25" s="35">
        <f t="shared" si="0"/>
        <v>6.8500516124413678E-4</v>
      </c>
      <c r="G25" s="35">
        <f t="shared" si="0"/>
        <v>7.6799961618503171E-4</v>
      </c>
      <c r="H25" s="35">
        <f t="shared" si="1"/>
        <v>8.1299999999992305E-4</v>
      </c>
    </row>
    <row r="26" spans="1:8" x14ac:dyDescent="0.35">
      <c r="A26" s="32">
        <v>39</v>
      </c>
      <c r="B26" s="33"/>
      <c r="C26" s="34">
        <f>9863.0227</f>
        <v>9863.0226999999995</v>
      </c>
      <c r="D26" s="34">
        <f>9864.4047</f>
        <v>9864.4046999999991</v>
      </c>
      <c r="E26" s="34">
        <v>9864.8687615747949</v>
      </c>
      <c r="F26" s="35">
        <f t="shared" si="0"/>
        <v>7.3300044214627579E-4</v>
      </c>
      <c r="G26" s="35">
        <f t="shared" si="0"/>
        <v>8.2299687560214731E-4</v>
      </c>
      <c r="H26" s="35">
        <f t="shared" si="1"/>
        <v>8.7000000000008544E-4</v>
      </c>
    </row>
    <row r="27" spans="1:8" x14ac:dyDescent="0.35">
      <c r="A27" s="32">
        <v>40</v>
      </c>
      <c r="B27" s="33"/>
      <c r="C27" s="34">
        <f>9854.3036</f>
        <v>9854.3035999999993</v>
      </c>
      <c r="D27" s="34">
        <f>9855.7931</f>
        <v>9855.7931000000008</v>
      </c>
      <c r="E27" s="34">
        <v>9856.286325752224</v>
      </c>
      <c r="F27" s="35">
        <f t="shared" si="0"/>
        <v>7.8800088927641961E-4</v>
      </c>
      <c r="G27" s="35">
        <f t="shared" si="0"/>
        <v>8.8700264365385105E-4</v>
      </c>
      <c r="H27" s="35">
        <f t="shared" si="1"/>
        <v>9.3699999999987576E-4</v>
      </c>
    </row>
    <row r="28" spans="1:8" x14ac:dyDescent="0.35">
      <c r="A28" s="32">
        <v>41</v>
      </c>
      <c r="B28" s="33"/>
      <c r="C28" s="34">
        <f>9844.9025</f>
        <v>9844.9025000000001</v>
      </c>
      <c r="D28" s="34">
        <f>9846.5384</f>
        <v>9846.5383999999995</v>
      </c>
      <c r="E28" s="34">
        <v>9847.0509854649954</v>
      </c>
      <c r="F28" s="35">
        <f t="shared" si="0"/>
        <v>8.5099877830182788E-4</v>
      </c>
      <c r="G28" s="35">
        <f t="shared" si="0"/>
        <v>9.619953581112634E-4</v>
      </c>
      <c r="H28" s="35">
        <f t="shared" si="1"/>
        <v>1.0139999999998718E-3</v>
      </c>
    </row>
    <row r="29" spans="1:8" x14ac:dyDescent="0.35">
      <c r="A29" s="32">
        <v>42</v>
      </c>
      <c r="B29" s="33"/>
      <c r="C29" s="34">
        <f>9834.703</f>
        <v>9834.7029999999995</v>
      </c>
      <c r="D29" s="34">
        <f>9836.5245</f>
        <v>9836.5244999999995</v>
      </c>
      <c r="E29" s="34">
        <v>9837.0660757657351</v>
      </c>
      <c r="F29" s="35">
        <f t="shared" si="0"/>
        <v>9.2200038984403614E-4</v>
      </c>
      <c r="G29" s="35">
        <f t="shared" si="0"/>
        <v>1.0490031496297235E-3</v>
      </c>
      <c r="H29" s="35">
        <f t="shared" si="1"/>
        <v>1.1040000000000186E-3</v>
      </c>
    </row>
    <row r="30" spans="1:8" x14ac:dyDescent="0.35">
      <c r="A30" s="32">
        <v>43</v>
      </c>
      <c r="B30" s="33"/>
      <c r="C30" s="34">
        <f>9823.5994</f>
        <v>9823.5993999999992</v>
      </c>
      <c r="D30" s="34">
        <f>9825.6354</f>
        <v>9825.6353999999992</v>
      </c>
      <c r="E30" s="34">
        <v>9826.2059548180896</v>
      </c>
      <c r="F30" s="35">
        <f t="shared" si="0"/>
        <v>1.0030030336943962E-3</v>
      </c>
      <c r="G30" s="35">
        <f t="shared" si="0"/>
        <v>1.1500021642700986E-3</v>
      </c>
      <c r="H30" s="35">
        <f t="shared" si="1"/>
        <v>1.2079999999999012E-3</v>
      </c>
    </row>
    <row r="31" spans="1:8" x14ac:dyDescent="0.35">
      <c r="A31" s="32">
        <v>44</v>
      </c>
      <c r="B31" s="33"/>
      <c r="C31" s="34">
        <f>9811.4473</f>
        <v>9811.4472999999998</v>
      </c>
      <c r="D31" s="34">
        <f>9813.7463</f>
        <v>9813.7463000000007</v>
      </c>
      <c r="E31" s="34">
        <v>9814.3358980246703</v>
      </c>
      <c r="F31" s="35">
        <f t="shared" si="0"/>
        <v>1.0960054792323658E-3</v>
      </c>
      <c r="G31" s="35">
        <f t="shared" si="0"/>
        <v>1.2670009323564146E-3</v>
      </c>
      <c r="H31" s="35">
        <f t="shared" si="1"/>
        <v>1.3270000000000194E-3</v>
      </c>
    </row>
    <row r="32" spans="1:8" x14ac:dyDescent="0.35">
      <c r="A32" s="32">
        <v>45</v>
      </c>
      <c r="B32" s="33"/>
      <c r="C32" s="34">
        <f>9798.0837</f>
        <v>9798.0836999999992</v>
      </c>
      <c r="D32" s="34">
        <f>9800.6939</f>
        <v>9800.6939000000002</v>
      </c>
      <c r="E32" s="34">
        <v>9801.3122742879914</v>
      </c>
      <c r="F32" s="35">
        <f t="shared" si="0"/>
        <v>1.2010001506723123E-3</v>
      </c>
      <c r="G32" s="35">
        <f t="shared" si="0"/>
        <v>1.4019974844679485E-3</v>
      </c>
      <c r="H32" s="35">
        <f t="shared" si="1"/>
        <v>1.4649999999999626E-3</v>
      </c>
    </row>
    <row r="33" spans="1:8" x14ac:dyDescent="0.35">
      <c r="A33" s="32">
        <v>46</v>
      </c>
      <c r="B33" s="33"/>
      <c r="C33" s="34">
        <f>9783.3371</f>
        <v>9783.3371000000006</v>
      </c>
      <c r="D33" s="34">
        <f>9786.3162</f>
        <v>9786.3161999999993</v>
      </c>
      <c r="E33" s="34">
        <v>9786.9533518061598</v>
      </c>
      <c r="F33" s="35">
        <f t="shared" si="0"/>
        <v>1.3199994917890204E-3</v>
      </c>
      <c r="G33" s="35">
        <f t="shared" si="0"/>
        <v>1.5569992036911344E-3</v>
      </c>
      <c r="H33" s="35">
        <f t="shared" si="1"/>
        <v>1.6220000000000613E-3</v>
      </c>
    </row>
    <row r="34" spans="1:8" x14ac:dyDescent="0.35">
      <c r="A34" s="32">
        <v>47</v>
      </c>
      <c r="B34" s="33"/>
      <c r="C34" s="34">
        <f>9766.9983</f>
        <v>9766.9982999999993</v>
      </c>
      <c r="D34" s="34">
        <f>9770.4231</f>
        <v>9770.4231</v>
      </c>
      <c r="E34" s="34">
        <v>9771.0789134695297</v>
      </c>
      <c r="F34" s="35">
        <f t="shared" si="0"/>
        <v>1.4549915504746263E-3</v>
      </c>
      <c r="G34" s="35">
        <f t="shared" si="0"/>
        <v>1.7349986340450261E-3</v>
      </c>
      <c r="H34" s="35">
        <f t="shared" si="1"/>
        <v>1.8019999999999542E-3</v>
      </c>
    </row>
    <row r="35" spans="1:8" x14ac:dyDescent="0.35">
      <c r="A35" s="32">
        <v>48</v>
      </c>
      <c r="B35" s="33"/>
      <c r="C35" s="34">
        <f>9748.8603</f>
        <v>9748.8603000000003</v>
      </c>
      <c r="D35" s="34">
        <f>9752.7874</f>
        <v>9752.7873999999993</v>
      </c>
      <c r="E35" s="34">
        <v>9753.471429267458</v>
      </c>
      <c r="F35" s="35">
        <f t="shared" si="0"/>
        <v>1.607008359736284E-3</v>
      </c>
      <c r="G35" s="35">
        <f t="shared" si="0"/>
        <v>1.9380040379543097E-3</v>
      </c>
      <c r="H35" s="35">
        <f t="shared" si="1"/>
        <v>2.0079999999999599E-3</v>
      </c>
    </row>
    <row r="36" spans="1:8" x14ac:dyDescent="0.35">
      <c r="A36" s="32">
        <v>49</v>
      </c>
      <c r="B36" s="33"/>
      <c r="C36" s="34">
        <f>9728.6499</f>
        <v>9728.6499000000003</v>
      </c>
      <c r="D36" s="34">
        <f>9733.1938</f>
        <v>9733.1937999999991</v>
      </c>
      <c r="E36" s="34">
        <v>9733.8864586374893</v>
      </c>
      <c r="F36" s="35">
        <f t="shared" ref="F36:G67" si="2">(C36-D37)/C36</f>
        <v>1.7779959375453095E-3</v>
      </c>
      <c r="G36" s="35">
        <f t="shared" si="2"/>
        <v>2.1699949009869116E-3</v>
      </c>
      <c r="H36" s="35">
        <f t="shared" si="1"/>
        <v>2.2410000000001075E-3</v>
      </c>
    </row>
    <row r="37" spans="1:8" x14ac:dyDescent="0.35">
      <c r="A37" s="32">
        <v>50</v>
      </c>
      <c r="B37" s="33"/>
      <c r="C37" s="34">
        <f>9706.0977</f>
        <v>9706.0977000000003</v>
      </c>
      <c r="D37" s="34">
        <f>9711.3524</f>
        <v>9711.3523999999998</v>
      </c>
      <c r="E37" s="34">
        <v>9712.0728190836817</v>
      </c>
      <c r="F37" s="35">
        <f t="shared" si="2"/>
        <v>1.9710083899115109E-3</v>
      </c>
      <c r="G37" s="35">
        <f t="shared" si="2"/>
        <v>2.434002863141761E-3</v>
      </c>
      <c r="H37" s="35">
        <f t="shared" si="1"/>
        <v>2.5079999999998615E-3</v>
      </c>
    </row>
    <row r="38" spans="1:8" x14ac:dyDescent="0.35">
      <c r="A38" s="32">
        <v>51</v>
      </c>
      <c r="B38" s="33"/>
      <c r="C38" s="34">
        <f>9680.899</f>
        <v>9680.8989999999994</v>
      </c>
      <c r="D38" s="34">
        <f>9686.9669</f>
        <v>9686.9668999999994</v>
      </c>
      <c r="E38" s="34">
        <v>9687.7149404534211</v>
      </c>
      <c r="F38" s="35">
        <f t="shared" si="2"/>
        <v>2.1890012487475593E-3</v>
      </c>
      <c r="G38" s="35">
        <f t="shared" si="2"/>
        <v>2.7319955861841161E-3</v>
      </c>
      <c r="H38" s="35">
        <f t="shared" si="1"/>
        <v>2.8089999999999665E-3</v>
      </c>
    </row>
    <row r="39" spans="1:8" x14ac:dyDescent="0.35">
      <c r="A39" s="32">
        <v>52</v>
      </c>
      <c r="B39" s="33"/>
      <c r="C39" s="34">
        <f>9652.6965</f>
        <v>9652.6965</v>
      </c>
      <c r="D39" s="34">
        <f>9659.7075</f>
        <v>9659.7075000000004</v>
      </c>
      <c r="E39" s="34">
        <v>9660.5021491856878</v>
      </c>
      <c r="F39" s="35">
        <f t="shared" si="2"/>
        <v>2.4329989034670863E-3</v>
      </c>
      <c r="G39" s="35">
        <f t="shared" si="2"/>
        <v>3.069994985722471E-3</v>
      </c>
      <c r="H39" s="35">
        <f t="shared" si="1"/>
        <v>3.1519999999999829E-3</v>
      </c>
    </row>
    <row r="40" spans="1:8" x14ac:dyDescent="0.35">
      <c r="A40" s="32">
        <v>53</v>
      </c>
      <c r="B40" s="33"/>
      <c r="C40" s="34">
        <f>9621.1006</f>
        <v>9621.1005999999998</v>
      </c>
      <c r="D40" s="34">
        <f>9629.2115</f>
        <v>9629.2114999999994</v>
      </c>
      <c r="E40" s="34">
        <v>9630.0522464114547</v>
      </c>
      <c r="F40" s="35">
        <f t="shared" si="2"/>
        <v>2.7069979914771461E-3</v>
      </c>
      <c r="G40" s="35">
        <f t="shared" si="2"/>
        <v>3.4519969250435467E-3</v>
      </c>
      <c r="H40" s="35">
        <f t="shared" si="1"/>
        <v>3.5389999999999042E-3</v>
      </c>
    </row>
    <row r="41" spans="1:8" x14ac:dyDescent="0.35">
      <c r="A41" s="32">
        <v>54</v>
      </c>
      <c r="B41" s="33"/>
      <c r="C41" s="34">
        <f>9585.6916</f>
        <v>9585.6916000000001</v>
      </c>
      <c r="D41" s="34">
        <f>9595.0563</f>
        <v>9595.0563000000002</v>
      </c>
      <c r="E41" s="34">
        <v>9595.9714915114055</v>
      </c>
      <c r="F41" s="35">
        <f t="shared" si="2"/>
        <v>3.0140026620509384E-3</v>
      </c>
      <c r="G41" s="35">
        <f t="shared" si="2"/>
        <v>3.8809976694815468E-3</v>
      </c>
      <c r="H41" s="35">
        <f t="shared" si="1"/>
        <v>3.9760000000000177E-3</v>
      </c>
    </row>
    <row r="42" spans="1:8" x14ac:dyDescent="0.35">
      <c r="A42" s="32">
        <v>55</v>
      </c>
      <c r="B42" s="33"/>
      <c r="C42" s="34">
        <f>9545.9929</f>
        <v>9545.9928999999993</v>
      </c>
      <c r="D42" s="34">
        <f>9556.8003</f>
        <v>9556.8003000000008</v>
      </c>
      <c r="E42" s="34">
        <v>9557.817908861156</v>
      </c>
      <c r="F42" s="35">
        <f t="shared" si="2"/>
        <v>3.3579953741636748E-3</v>
      </c>
      <c r="G42" s="35">
        <f t="shared" si="2"/>
        <v>4.3629957794080534E-3</v>
      </c>
      <c r="H42" s="35">
        <f t="shared" si="1"/>
        <v>4.4690000000000294E-3</v>
      </c>
    </row>
    <row r="43" spans="1:8" x14ac:dyDescent="0.35">
      <c r="A43" s="32">
        <v>56</v>
      </c>
      <c r="B43" s="33"/>
      <c r="C43" s="34">
        <f>9501.4839</f>
        <v>9501.4838999999993</v>
      </c>
      <c r="D43" s="34">
        <f>9513.9375</f>
        <v>9513.9375</v>
      </c>
      <c r="E43" s="34">
        <v>9515.1040206264552</v>
      </c>
      <c r="F43" s="35">
        <f t="shared" si="2"/>
        <v>3.7420049725074506E-3</v>
      </c>
      <c r="G43" s="35">
        <f t="shared" si="2"/>
        <v>4.9030043635657347E-3</v>
      </c>
      <c r="H43" s="35">
        <f t="shared" si="1"/>
        <v>5.0249999999998846E-3</v>
      </c>
    </row>
    <row r="44" spans="1:8" x14ac:dyDescent="0.35">
      <c r="A44" s="32">
        <v>57</v>
      </c>
      <c r="B44" s="33"/>
      <c r="C44" s="34">
        <f>9451.5938</f>
        <v>9451.5938000000006</v>
      </c>
      <c r="D44" s="34">
        <f>9465.9293</f>
        <v>9465.9292999999998</v>
      </c>
      <c r="E44" s="34">
        <v>9467.2906229228083</v>
      </c>
      <c r="F44" s="35">
        <f t="shared" si="2"/>
        <v>4.1710002391342586E-3</v>
      </c>
      <c r="G44" s="35">
        <f t="shared" si="2"/>
        <v>5.5069996240839107E-3</v>
      </c>
      <c r="H44" s="35">
        <f t="shared" si="1"/>
        <v>5.6499999999999519E-3</v>
      </c>
    </row>
    <row r="45" spans="1:8" x14ac:dyDescent="0.35">
      <c r="A45" s="32">
        <v>58</v>
      </c>
      <c r="B45" s="33"/>
      <c r="C45" s="34">
        <f>9395.6971</f>
        <v>9395.6970999999994</v>
      </c>
      <c r="D45" s="34">
        <f>9412.1712</f>
        <v>9412.1712000000007</v>
      </c>
      <c r="E45" s="34">
        <v>9413.8004309032949</v>
      </c>
      <c r="F45" s="35">
        <f t="shared" si="2"/>
        <v>4.6490004451079725E-3</v>
      </c>
      <c r="G45" s="35">
        <f t="shared" si="2"/>
        <v>6.1800012130892911E-3</v>
      </c>
      <c r="H45" s="35">
        <f t="shared" si="1"/>
        <v>6.3520000000000633E-3</v>
      </c>
    </row>
    <row r="46" spans="1:8" x14ac:dyDescent="0.35">
      <c r="A46" s="32">
        <v>59</v>
      </c>
      <c r="B46" s="33"/>
      <c r="C46" s="34">
        <f>9333.1284</f>
        <v>9333.1283999999996</v>
      </c>
      <c r="D46" s="34">
        <f>9352.0165</f>
        <v>9352.0164999999997</v>
      </c>
      <c r="E46" s="34">
        <v>9354.0039705661966</v>
      </c>
      <c r="F46" s="35">
        <f t="shared" si="2"/>
        <v>5.1820030676958517E-3</v>
      </c>
      <c r="G46" s="35">
        <f t="shared" si="2"/>
        <v>6.9289995140242519E-3</v>
      </c>
      <c r="H46" s="35">
        <f t="shared" si="1"/>
        <v>7.1400000000001072E-3</v>
      </c>
    </row>
    <row r="47" spans="1:8" x14ac:dyDescent="0.35">
      <c r="A47" s="32">
        <v>60</v>
      </c>
      <c r="B47" s="33"/>
      <c r="C47" s="34">
        <f>9263.1422</f>
        <v>9263.1422000000002</v>
      </c>
      <c r="D47" s="34">
        <f>9284.7641</f>
        <v>9284.7641000000003</v>
      </c>
      <c r="E47" s="34">
        <v>9287.2163822163529</v>
      </c>
      <c r="F47" s="35">
        <f t="shared" si="2"/>
        <v>5.7740018284507793E-3</v>
      </c>
      <c r="G47" s="35">
        <f t="shared" si="2"/>
        <v>7.759999804603286E-3</v>
      </c>
      <c r="H47" s="35">
        <f t="shared" si="1"/>
        <v>8.022000000000069E-3</v>
      </c>
    </row>
    <row r="48" spans="1:8" x14ac:dyDescent="0.35">
      <c r="A48" s="32">
        <v>61</v>
      </c>
      <c r="B48" s="33"/>
      <c r="C48" s="34">
        <f>9184.9687</f>
        <v>9184.9686999999994</v>
      </c>
      <c r="D48" s="34">
        <f>9209.6568</f>
        <v>9209.6568000000007</v>
      </c>
      <c r="E48" s="34">
        <v>9212.7143323982127</v>
      </c>
      <c r="F48" s="35">
        <f t="shared" si="2"/>
        <v>6.4329996029273617E-3</v>
      </c>
      <c r="G48" s="35">
        <f t="shared" si="2"/>
        <v>8.6799989140056398E-3</v>
      </c>
      <c r="H48" s="35">
        <f t="shared" si="1"/>
        <v>9.0090000000001332E-3</v>
      </c>
    </row>
    <row r="49" spans="1:8" x14ac:dyDescent="0.35">
      <c r="A49" s="32">
        <v>62</v>
      </c>
      <c r="B49" s="33"/>
      <c r="C49" s="34">
        <f>9097.7405</f>
        <v>9097.7404999999999</v>
      </c>
      <c r="D49" s="34">
        <f>9125.8818</f>
        <v>9125.8817999999992</v>
      </c>
      <c r="E49" s="34">
        <v>9129.716988977636</v>
      </c>
      <c r="F49" s="35">
        <f t="shared" si="2"/>
        <v>7.1640095691890941E-3</v>
      </c>
      <c r="G49" s="35">
        <f t="shared" si="2"/>
        <v>9.6959955381960353E-3</v>
      </c>
      <c r="H49" s="35">
        <f t="shared" si="1"/>
        <v>1.0111999999999927E-2</v>
      </c>
    </row>
    <row r="50" spans="1:8" x14ac:dyDescent="0.35">
      <c r="A50" s="32">
        <v>63</v>
      </c>
      <c r="B50" s="33"/>
      <c r="C50" s="34">
        <f>9000.5884</f>
        <v>9000.5884000000005</v>
      </c>
      <c r="D50" s="34">
        <f>9032.5642</f>
        <v>9032.5642000000007</v>
      </c>
      <c r="E50" s="34">
        <v>9037.3972907850948</v>
      </c>
      <c r="F50" s="35">
        <f t="shared" si="2"/>
        <v>7.9740008997635017E-3</v>
      </c>
      <c r="G50" s="35">
        <f t="shared" si="2"/>
        <v>1.0814995821626389E-2</v>
      </c>
      <c r="H50" s="35">
        <f t="shared" si="1"/>
        <v>1.134400000000001E-2</v>
      </c>
    </row>
    <row r="51" spans="1:8" x14ac:dyDescent="0.35">
      <c r="A51" s="32">
        <v>64</v>
      </c>
      <c r="B51" s="33"/>
      <c r="C51" s="34">
        <f>8892.5741</f>
        <v>8892.5740999999998</v>
      </c>
      <c r="D51" s="34">
        <f>8928.8177</f>
        <v>8928.8176999999996</v>
      </c>
      <c r="E51" s="34">
        <v>8934.8770559184286</v>
      </c>
      <c r="F51" s="35">
        <f t="shared" si="2"/>
        <v>8.8709972065344304E-3</v>
      </c>
      <c r="G51" s="35">
        <f t="shared" si="2"/>
        <v>1.2046000303559628E-2</v>
      </c>
      <c r="H51" s="35">
        <f t="shared" si="1"/>
        <v>1.271599999999987E-2</v>
      </c>
    </row>
    <row r="52" spans="1:8" x14ac:dyDescent="0.35">
      <c r="A52" s="32">
        <v>65</v>
      </c>
      <c r="B52" s="33"/>
      <c r="C52" s="34">
        <f>8772.7359</f>
        <v>8772.7358999999997</v>
      </c>
      <c r="D52" s="34">
        <f>8813.6881</f>
        <v>8813.6880999999994</v>
      </c>
      <c r="E52" s="34">
        <v>8821.261159275371</v>
      </c>
      <c r="F52" s="35">
        <f t="shared" si="2"/>
        <v>9.864003771046995E-3</v>
      </c>
      <c r="G52" s="35">
        <f t="shared" si="2"/>
        <v>1.3395999730939915E-2</v>
      </c>
      <c r="H52" s="35">
        <f t="shared" si="1"/>
        <v>1.4243000000000096E-2</v>
      </c>
    </row>
    <row r="53" spans="1:8" x14ac:dyDescent="0.35">
      <c r="A53" s="32">
        <v>66</v>
      </c>
      <c r="B53" s="33"/>
      <c r="C53" s="34">
        <f>8640.0481</f>
        <v>8640.0481</v>
      </c>
      <c r="D53" s="34">
        <f>8686.2016</f>
        <v>8686.2016000000003</v>
      </c>
      <c r="E53" s="34">
        <v>8695.6199365838111</v>
      </c>
      <c r="F53" s="35">
        <f t="shared" si="2"/>
        <v>1.0959996854647188E-2</v>
      </c>
      <c r="G53" s="35">
        <f t="shared" si="2"/>
        <v>1.4872996409078921E-2</v>
      </c>
      <c r="H53" s="35">
        <f t="shared" si="1"/>
        <v>1.5940000000000044E-2</v>
      </c>
    </row>
    <row r="54" spans="1:8" x14ac:dyDescent="0.35">
      <c r="A54" s="32">
        <v>67</v>
      </c>
      <c r="B54" s="33"/>
      <c r="C54" s="34">
        <f>8493.5187</f>
        <v>8493.5187000000005</v>
      </c>
      <c r="D54" s="34">
        <f>8545.3532</f>
        <v>8545.3531999999996</v>
      </c>
      <c r="E54" s="34">
        <v>8557.0117547946647</v>
      </c>
      <c r="F54" s="35">
        <f t="shared" si="2"/>
        <v>1.2168996578532426E-2</v>
      </c>
      <c r="G54" s="35">
        <f t="shared" si="2"/>
        <v>1.6484002407623596E-2</v>
      </c>
      <c r="H54" s="35">
        <f t="shared" si="1"/>
        <v>1.7823999999999889E-2</v>
      </c>
    </row>
    <row r="55" spans="1:8" x14ac:dyDescent="0.35">
      <c r="A55" s="32">
        <v>68</v>
      </c>
      <c r="B55" s="33"/>
      <c r="C55" s="34">
        <f>8332.1396</f>
        <v>8332.1396000000004</v>
      </c>
      <c r="D55" s="34">
        <f>8390.1611</f>
        <v>8390.1610999999994</v>
      </c>
      <c r="E55" s="34">
        <v>8404.4915772772056</v>
      </c>
      <c r="F55" s="35">
        <f t="shared" si="2"/>
        <v>1.3502006135375026E-2</v>
      </c>
      <c r="G55" s="35">
        <f t="shared" si="2"/>
        <v>1.823900181143295E-2</v>
      </c>
      <c r="H55" s="35">
        <f t="shared" si="1"/>
        <v>1.9912999999999938E-2</v>
      </c>
    </row>
    <row r="56" spans="1:8" x14ac:dyDescent="0.35">
      <c r="A56" s="32">
        <v>69</v>
      </c>
      <c r="B56" s="33"/>
      <c r="C56" s="34">
        <f>8154.9318</f>
        <v>8154.9318000000003</v>
      </c>
      <c r="D56" s="34">
        <f>8219.639</f>
        <v>8219.6389999999992</v>
      </c>
      <c r="E56" s="34">
        <v>8237.1329364988851</v>
      </c>
      <c r="F56" s="35">
        <f t="shared" si="2"/>
        <v>1.4969003174250987E-2</v>
      </c>
      <c r="G56" s="35">
        <f t="shared" si="2"/>
        <v>2.0144994220273917E-2</v>
      </c>
      <c r="H56" s="35">
        <f t="shared" si="1"/>
        <v>2.2225999999999965E-2</v>
      </c>
    </row>
    <row r="57" spans="1:8" x14ac:dyDescent="0.35">
      <c r="A57" s="32">
        <v>70</v>
      </c>
      <c r="B57" s="33"/>
      <c r="C57" s="34">
        <f>7960.9776</f>
        <v>7960.9776000000002</v>
      </c>
      <c r="D57" s="34">
        <f>8032.8606</f>
        <v>8032.8606</v>
      </c>
      <c r="E57" s="34">
        <v>8054.0544198522612</v>
      </c>
      <c r="F57" s="35">
        <f t="shared" si="2"/>
        <v>1.6582008722144881E-2</v>
      </c>
      <c r="G57" s="35">
        <f t="shared" si="2"/>
        <v>2.220999712542468E-2</v>
      </c>
      <c r="H57" s="35">
        <f t="shared" si="1"/>
        <v>2.4782999999999972E-2</v>
      </c>
    </row>
    <row r="58" spans="1:8" x14ac:dyDescent="0.35">
      <c r="A58" s="32">
        <v>71</v>
      </c>
      <c r="B58" s="33"/>
      <c r="C58" s="34">
        <f>7749.4659</f>
        <v>7749.4659000000001</v>
      </c>
      <c r="D58" s="34">
        <f>7828.9686</f>
        <v>7828.9686000000002</v>
      </c>
      <c r="E58" s="34">
        <v>7854.4507891650628</v>
      </c>
      <c r="F58" s="35">
        <f t="shared" si="2"/>
        <v>1.8352993849550376E-2</v>
      </c>
      <c r="G58" s="35">
        <f t="shared" si="2"/>
        <v>2.4440994605678765E-2</v>
      </c>
      <c r="H58" s="35">
        <f t="shared" si="1"/>
        <v>2.7606000000000047E-2</v>
      </c>
    </row>
    <row r="59" spans="1:8" x14ac:dyDescent="0.35">
      <c r="A59" s="32">
        <v>72</v>
      </c>
      <c r="B59" s="33"/>
      <c r="C59" s="34">
        <f>7519.7027</f>
        <v>7519.7026999999998</v>
      </c>
      <c r="D59" s="34">
        <f>7607.24</f>
        <v>7607.24</v>
      </c>
      <c r="E59" s="34">
        <v>7637.6208206793717</v>
      </c>
      <c r="F59" s="35">
        <f t="shared" si="2"/>
        <v>2.0296001861882077E-2</v>
      </c>
      <c r="G59" s="35">
        <f t="shared" si="2"/>
        <v>2.6847005706439796E-2</v>
      </c>
      <c r="H59" s="35">
        <f t="shared" si="1"/>
        <v>3.0718000000000006E-2</v>
      </c>
    </row>
    <row r="60" spans="1:8" x14ac:dyDescent="0.35">
      <c r="A60" s="32">
        <v>73</v>
      </c>
      <c r="B60" s="33"/>
      <c r="C60" s="34">
        <f>7271.1461</f>
        <v>7271.1460999999999</v>
      </c>
      <c r="D60" s="34">
        <f>7367.0828</f>
        <v>7367.0828000000001</v>
      </c>
      <c r="E60" s="34">
        <v>7403.0083843097427</v>
      </c>
      <c r="F60" s="35">
        <f t="shared" si="2"/>
        <v>2.242299876218963E-2</v>
      </c>
      <c r="G60" s="35">
        <f t="shared" si="2"/>
        <v>2.9434002555818888E-2</v>
      </c>
      <c r="H60" s="35">
        <f t="shared" si="1"/>
        <v>3.4144000000000015E-2</v>
      </c>
    </row>
    <row r="61" spans="1:8" x14ac:dyDescent="0.35">
      <c r="A61" s="32">
        <v>74</v>
      </c>
      <c r="B61" s="33"/>
      <c r="C61" s="34">
        <f>7003.5216</f>
        <v>7003.5216</v>
      </c>
      <c r="D61" s="34">
        <f>7108.1052</f>
        <v>7108.1052</v>
      </c>
      <c r="E61" s="34">
        <v>7150.2400660358708</v>
      </c>
      <c r="F61" s="35">
        <f t="shared" si="2"/>
        <v>2.4750005768526498E-2</v>
      </c>
      <c r="G61" s="35">
        <f t="shared" si="2"/>
        <v>3.2208004618110513E-2</v>
      </c>
      <c r="H61" s="35">
        <f t="shared" si="1"/>
        <v>3.7911000000000035E-2</v>
      </c>
    </row>
    <row r="62" spans="1:8" x14ac:dyDescent="0.35">
      <c r="A62" s="32">
        <v>75</v>
      </c>
      <c r="B62" s="33"/>
      <c r="C62" s="34">
        <f>6716.8231</f>
        <v>6716.8230999999996</v>
      </c>
      <c r="D62" s="34">
        <f>6830.1844</f>
        <v>6830.1844000000001</v>
      </c>
      <c r="E62" s="34">
        <v>6879.1673148923846</v>
      </c>
      <c r="F62" s="35">
        <f t="shared" si="2"/>
        <v>2.7293007016963099E-2</v>
      </c>
      <c r="G62" s="35">
        <f t="shared" si="2"/>
        <v>3.5175998180895438E-2</v>
      </c>
      <c r="H62" s="35">
        <f t="shared" si="1"/>
        <v>4.2045999999999965E-2</v>
      </c>
    </row>
    <row r="63" spans="1:8" x14ac:dyDescent="0.35">
      <c r="A63" s="32">
        <v>76</v>
      </c>
      <c r="B63" s="33"/>
      <c r="C63" s="34">
        <f>6411.3459</f>
        <v>6411.3459000000003</v>
      </c>
      <c r="D63" s="34">
        <f>6533.5008</f>
        <v>6533.5007999999998</v>
      </c>
      <c r="E63" s="34">
        <v>6589.9258459704197</v>
      </c>
      <c r="F63" s="35">
        <f t="shared" si="2"/>
        <v>3.0067009798987826E-2</v>
      </c>
      <c r="G63" s="35">
        <f t="shared" si="2"/>
        <v>3.83439947054404E-2</v>
      </c>
      <c r="H63" s="35">
        <f t="shared" si="1"/>
        <v>4.6578000000000043E-2</v>
      </c>
    </row>
    <row r="64" spans="1:8" x14ac:dyDescent="0.35">
      <c r="A64" s="32">
        <v>77</v>
      </c>
      <c r="B64" s="33"/>
      <c r="C64" s="34">
        <f>6087.8084</f>
        <v>6087.8083999999999</v>
      </c>
      <c r="D64" s="34">
        <f>6218.5759</f>
        <v>6218.5758999999998</v>
      </c>
      <c r="E64" s="34">
        <v>6282.9802799168092</v>
      </c>
      <c r="F64" s="35">
        <f t="shared" si="2"/>
        <v>3.3090003292482073E-2</v>
      </c>
      <c r="G64" s="35">
        <f t="shared" si="2"/>
        <v>4.1714994223925599E-2</v>
      </c>
      <c r="H64" s="35">
        <f t="shared" si="1"/>
        <v>5.1537999999999966E-2</v>
      </c>
    </row>
    <row r="65" spans="1:8" x14ac:dyDescent="0.35">
      <c r="A65" s="32">
        <v>78</v>
      </c>
      <c r="B65" s="33"/>
      <c r="C65" s="34">
        <f>5747.3624</f>
        <v>5747.3624</v>
      </c>
      <c r="D65" s="34">
        <f>5886.3628</f>
        <v>5886.3627999999999</v>
      </c>
      <c r="E65" s="34">
        <v>5959.1680422504569</v>
      </c>
      <c r="F65" s="35">
        <f t="shared" si="2"/>
        <v>3.6379000565546424E-2</v>
      </c>
      <c r="G65" s="35">
        <f t="shared" si="2"/>
        <v>4.5291998101775137E-2</v>
      </c>
      <c r="H65" s="35">
        <f t="shared" si="1"/>
        <v>5.6955999999999958E-2</v>
      </c>
    </row>
    <row r="66" spans="1:8" x14ac:dyDescent="0.35">
      <c r="A66" s="32">
        <v>79</v>
      </c>
      <c r="B66" s="33"/>
      <c r="C66" s="34">
        <f>5391.64</f>
        <v>5391.64</v>
      </c>
      <c r="D66" s="34">
        <f>5538.2791</f>
        <v>5538.2790999999997</v>
      </c>
      <c r="E66" s="34">
        <v>5619.7576672360401</v>
      </c>
      <c r="F66" s="35">
        <f t="shared" si="2"/>
        <v>3.99540028636928E-2</v>
      </c>
      <c r="G66" s="35">
        <f t="shared" si="2"/>
        <v>4.9079999964264688E-2</v>
      </c>
      <c r="H66" s="35">
        <f t="shared" si="1"/>
        <v>6.2867000000000006E-2</v>
      </c>
    </row>
    <row r="67" spans="1:8" x14ac:dyDescent="0.35">
      <c r="A67" s="32">
        <v>80</v>
      </c>
      <c r="B67" s="33"/>
      <c r="C67" s="34">
        <f>5022.7931</f>
        <v>5022.7930999999999</v>
      </c>
      <c r="D67" s="34">
        <f>5176.2224</f>
        <v>5176.2223999999997</v>
      </c>
      <c r="E67" s="34">
        <v>5266.4603619699119</v>
      </c>
      <c r="F67" s="35">
        <f t="shared" si="2"/>
        <v>4.3833002000420833E-2</v>
      </c>
      <c r="G67" s="35">
        <f t="shared" si="2"/>
        <v>5.3078001535577117E-2</v>
      </c>
      <c r="H67" s="35">
        <f t="shared" si="1"/>
        <v>6.9303000000000017E-2</v>
      </c>
    </row>
    <row r="68" spans="1:8" x14ac:dyDescent="0.35">
      <c r="A68" s="32">
        <v>81</v>
      </c>
      <c r="B68" s="33"/>
      <c r="C68" s="34">
        <f>4643.5129</f>
        <v>4643.5128999999997</v>
      </c>
      <c r="D68" s="34">
        <f>4802.629</f>
        <v>4802.6289999999999</v>
      </c>
      <c r="E68" s="34">
        <v>4901.478859504311</v>
      </c>
      <c r="F68" s="35">
        <f t="shared" ref="F68:G78" si="3">(C68-D69)/C68</f>
        <v>4.8036993716545809E-2</v>
      </c>
      <c r="G68" s="35">
        <f t="shared" si="3"/>
        <v>5.7287993196198969E-2</v>
      </c>
      <c r="H68" s="35">
        <f t="shared" ref="H68:H106" si="4">(E68-E69)/E68</f>
        <v>7.6300000000000007E-2</v>
      </c>
    </row>
    <row r="69" spans="1:8" x14ac:dyDescent="0.35">
      <c r="A69" s="32">
        <v>82</v>
      </c>
      <c r="B69" s="33"/>
      <c r="C69" s="34">
        <f>4257.0056</f>
        <v>4257.0056000000004</v>
      </c>
      <c r="D69" s="34">
        <f>4420.4525</f>
        <v>4420.4525000000003</v>
      </c>
      <c r="E69" s="34">
        <v>4527.4960225241321</v>
      </c>
      <c r="F69" s="35">
        <f t="shared" si="3"/>
        <v>5.2586000826496587E-2</v>
      </c>
      <c r="G69" s="35">
        <f t="shared" si="3"/>
        <v>6.1708999540993965E-2</v>
      </c>
      <c r="H69" s="35">
        <f t="shared" si="4"/>
        <v>8.3893000000000079E-2</v>
      </c>
    </row>
    <row r="70" spans="1:8" x14ac:dyDescent="0.35">
      <c r="A70" s="32">
        <v>83</v>
      </c>
      <c r="B70" s="33"/>
      <c r="C70" s="34">
        <f>3866.9884</f>
        <v>3866.9884000000002</v>
      </c>
      <c r="D70" s="34">
        <f>4033.1467</f>
        <v>4033.1466999999998</v>
      </c>
      <c r="E70" s="34">
        <v>4147.6707987065147</v>
      </c>
      <c r="F70" s="35">
        <f t="shared" si="3"/>
        <v>5.7501000002999764E-2</v>
      </c>
      <c r="G70" s="35">
        <f t="shared" si="3"/>
        <v>6.6337009823603243E-2</v>
      </c>
      <c r="H70" s="35">
        <f t="shared" si="4"/>
        <v>9.2116999999999977E-2</v>
      </c>
    </row>
    <row r="71" spans="1:8" x14ac:dyDescent="0.35">
      <c r="A71" s="32">
        <v>84</v>
      </c>
      <c r="B71" s="33"/>
      <c r="C71" s="34">
        <f>3477.5929</f>
        <v>3477.5929000000001</v>
      </c>
      <c r="D71" s="34">
        <f>3644.6327</f>
        <v>3644.6327000000001</v>
      </c>
      <c r="E71" s="34">
        <v>3765.5998077420668</v>
      </c>
      <c r="F71" s="35">
        <f t="shared" si="3"/>
        <v>6.2803987206208056E-2</v>
      </c>
      <c r="G71" s="35">
        <f t="shared" si="3"/>
        <v>7.116899105869734E-2</v>
      </c>
      <c r="H71" s="35">
        <f t="shared" si="4"/>
        <v>0.10100699999999992</v>
      </c>
    </row>
    <row r="72" spans="1:8" x14ac:dyDescent="0.35">
      <c r="A72" s="32">
        <v>85</v>
      </c>
      <c r="B72" s="33"/>
      <c r="C72" s="34">
        <f>3093.2863</f>
        <v>3093.2863000000002</v>
      </c>
      <c r="D72" s="34">
        <f>3259.1862</f>
        <v>3259.1862000000001</v>
      </c>
      <c r="E72" s="34">
        <v>3385.2478679614642</v>
      </c>
      <c r="F72" s="35">
        <f t="shared" si="3"/>
        <v>6.8515998664591807E-2</v>
      </c>
      <c r="G72" s="35">
        <f t="shared" si="3"/>
        <v>7.6199005210280432E-2</v>
      </c>
      <c r="H72" s="35">
        <f t="shared" si="4"/>
        <v>0.11060000000000006</v>
      </c>
    </row>
    <row r="73" spans="1:8" x14ac:dyDescent="0.35">
      <c r="A73" s="32">
        <v>86</v>
      </c>
      <c r="B73" s="33"/>
      <c r="C73" s="34">
        <f>2718.7128</f>
        <v>2718.7127999999998</v>
      </c>
      <c r="D73" s="34">
        <f>2881.3467</f>
        <v>2881.3467000000001</v>
      </c>
      <c r="E73" s="34">
        <v>3010.839453764926</v>
      </c>
      <c r="F73" s="35">
        <f t="shared" si="3"/>
        <v>7.4660993982151994E-2</v>
      </c>
      <c r="G73" s="35">
        <f t="shared" si="3"/>
        <v>8.1422013719977815E-2</v>
      </c>
      <c r="H73" s="35">
        <f t="shared" si="4"/>
        <v>0.12092900000000001</v>
      </c>
    </row>
    <row r="74" spans="1:8" x14ac:dyDescent="0.35">
      <c r="A74" s="32">
        <v>87</v>
      </c>
      <c r="B74" s="33"/>
      <c r="C74" s="34">
        <f>2358.5299</f>
        <v>2358.5299</v>
      </c>
      <c r="D74" s="34">
        <f>2515.731</f>
        <v>2515.7310000000002</v>
      </c>
      <c r="E74" s="34">
        <v>2646.7416494605873</v>
      </c>
      <c r="F74" s="35">
        <f t="shared" si="3"/>
        <v>8.125799041173902E-2</v>
      </c>
      <c r="G74" s="35">
        <f t="shared" si="3"/>
        <v>8.6826992645237341E-2</v>
      </c>
      <c r="H74" s="35">
        <f t="shared" si="4"/>
        <v>0.13202800000000009</v>
      </c>
    </row>
    <row r="75" spans="1:8" x14ac:dyDescent="0.35">
      <c r="A75" s="32">
        <v>88</v>
      </c>
      <c r="B75" s="33"/>
      <c r="C75" s="34">
        <f>2017.2298</f>
        <v>2017.2298000000001</v>
      </c>
      <c r="D75" s="34">
        <f>2166.8805</f>
        <v>2166.8805000000002</v>
      </c>
      <c r="E75" s="34">
        <v>2297.2976429656046</v>
      </c>
      <c r="F75" s="35">
        <f t="shared" si="3"/>
        <v>8.8331036949781311E-2</v>
      </c>
      <c r="G75" s="35">
        <f t="shared" si="3"/>
        <v>9.2405007792904115E-2</v>
      </c>
      <c r="H75" s="35">
        <f t="shared" si="4"/>
        <v>0.14392899999999995</v>
      </c>
    </row>
    <row r="76" spans="1:8" x14ac:dyDescent="0.35">
      <c r="A76" s="32">
        <v>89</v>
      </c>
      <c r="B76" s="33"/>
      <c r="C76" s="34">
        <f>1698.9089</f>
        <v>1698.9088999999999</v>
      </c>
      <c r="D76" s="34">
        <f>1839.0458</f>
        <v>1839.0458000000001</v>
      </c>
      <c r="E76" s="34">
        <v>1966.6498905112082</v>
      </c>
      <c r="F76" s="35">
        <f t="shared" si="3"/>
        <v>9.5902022762962696E-2</v>
      </c>
      <c r="G76" s="35">
        <f t="shared" si="3"/>
        <v>9.8143983872657103E-2</v>
      </c>
      <c r="H76" s="35">
        <f t="shared" si="4"/>
        <v>0.15666000000000002</v>
      </c>
    </row>
    <row r="77" spans="1:8" x14ac:dyDescent="0.35">
      <c r="A77" s="32">
        <v>90</v>
      </c>
      <c r="B77" s="33"/>
      <c r="C77" s="34">
        <f>1407.055</f>
        <v>1407.0550000000001</v>
      </c>
      <c r="D77" s="34">
        <f>1535.9801</f>
        <v>1535.9801</v>
      </c>
      <c r="E77" s="34">
        <v>1658.5545186637223</v>
      </c>
      <c r="F77" s="35">
        <f t="shared" si="3"/>
        <v>0.10398996485567374</v>
      </c>
      <c r="G77" s="35">
        <f t="shared" si="3"/>
        <v>0.10403097831490159</v>
      </c>
      <c r="H77" s="35">
        <f t="shared" si="4"/>
        <v>0.17024699999999998</v>
      </c>
    </row>
    <row r="78" spans="1:8" x14ac:dyDescent="0.35">
      <c r="A78" s="32">
        <v>91</v>
      </c>
      <c r="B78" s="33"/>
      <c r="C78" s="34"/>
      <c r="D78" s="34">
        <f>1260.7354</f>
        <v>1260.7354</v>
      </c>
      <c r="E78" s="34">
        <v>1376.1905875247796</v>
      </c>
      <c r="F78" s="35"/>
      <c r="G78" s="35">
        <f t="shared" si="3"/>
        <v>0.11005202254118707</v>
      </c>
      <c r="H78" s="35">
        <f t="shared" si="4"/>
        <v>0.18471399999999996</v>
      </c>
    </row>
    <row r="79" spans="1:8" x14ac:dyDescent="0.35">
      <c r="A79" s="32">
        <v>92</v>
      </c>
      <c r="B79" s="33"/>
      <c r="C79" s="34"/>
      <c r="D79" s="34"/>
      <c r="E79" s="34">
        <v>1121.9889193407275</v>
      </c>
      <c r="F79" s="35"/>
      <c r="G79" s="35"/>
      <c r="H79" s="35">
        <f t="shared" si="4"/>
        <v>0.20007900000000001</v>
      </c>
    </row>
    <row r="80" spans="1:8" x14ac:dyDescent="0.35">
      <c r="A80" s="32">
        <v>93</v>
      </c>
      <c r="B80" s="33"/>
      <c r="C80" s="34"/>
      <c r="D80" s="34"/>
      <c r="E80" s="34">
        <v>897.50249834795409</v>
      </c>
      <c r="F80" s="35"/>
      <c r="G80" s="35"/>
      <c r="H80" s="35">
        <f t="shared" si="4"/>
        <v>0.21635399999999999</v>
      </c>
    </row>
    <row r="81" spans="1:8" x14ac:dyDescent="0.35">
      <c r="A81" s="32">
        <v>94</v>
      </c>
      <c r="B81" s="33"/>
      <c r="C81" s="34"/>
      <c r="D81" s="34"/>
      <c r="E81" s="34">
        <v>703.32424282038085</v>
      </c>
      <c r="F81" s="35"/>
      <c r="G81" s="35"/>
      <c r="H81" s="35">
        <f t="shared" si="4"/>
        <v>0.23354800000000003</v>
      </c>
    </row>
    <row r="82" spans="1:8" x14ac:dyDescent="0.35">
      <c r="A82" s="32">
        <v>95</v>
      </c>
      <c r="B82" s="33"/>
      <c r="C82" s="34"/>
      <c r="D82" s="34"/>
      <c r="E82" s="34">
        <v>539.06427255816652</v>
      </c>
      <c r="F82" s="35"/>
      <c r="G82" s="35"/>
      <c r="H82" s="35">
        <f t="shared" si="4"/>
        <v>0.25166200000000005</v>
      </c>
    </row>
    <row r="83" spans="1:8" x14ac:dyDescent="0.35">
      <c r="A83" s="32">
        <v>96</v>
      </c>
      <c r="B83" s="33"/>
      <c r="C83" s="34"/>
      <c r="D83" s="34"/>
      <c r="E83" s="34">
        <v>403.4022795976332</v>
      </c>
      <c r="F83" s="35"/>
      <c r="G83" s="35"/>
      <c r="H83" s="35">
        <f t="shared" si="4"/>
        <v>0.27068800000000004</v>
      </c>
    </row>
    <row r="84" spans="1:8" x14ac:dyDescent="0.35">
      <c r="A84" s="32">
        <v>97</v>
      </c>
      <c r="B84" s="33"/>
      <c r="C84" s="34"/>
      <c r="D84" s="34"/>
      <c r="E84" s="34">
        <v>294.20612333790905</v>
      </c>
      <c r="F84" s="35"/>
      <c r="G84" s="35"/>
      <c r="H84" s="35">
        <f t="shared" si="4"/>
        <v>0.29061299999999995</v>
      </c>
    </row>
    <row r="85" spans="1:8" x14ac:dyDescent="0.35">
      <c r="A85" s="32">
        <v>98</v>
      </c>
      <c r="B85" s="33"/>
      <c r="C85" s="34"/>
      <c r="D85" s="34"/>
      <c r="E85" s="34">
        <v>208.70599921630929</v>
      </c>
      <c r="F85" s="35"/>
      <c r="G85" s="35"/>
      <c r="H85" s="35">
        <f t="shared" si="4"/>
        <v>0.31141400000000008</v>
      </c>
    </row>
    <row r="86" spans="1:8" x14ac:dyDescent="0.35">
      <c r="A86" s="32">
        <v>99</v>
      </c>
      <c r="B86" s="33"/>
      <c r="C86" s="34"/>
      <c r="D86" s="34"/>
      <c r="E86" s="34">
        <v>143.71202917636154</v>
      </c>
      <c r="F86" s="35"/>
      <c r="G86" s="35"/>
      <c r="H86" s="35">
        <f t="shared" si="4"/>
        <v>0.33305800000000008</v>
      </c>
    </row>
    <row r="87" spans="1:8" x14ac:dyDescent="0.35">
      <c r="A87" s="32">
        <v>100</v>
      </c>
      <c r="B87" s="33"/>
      <c r="C87" s="34"/>
      <c r="D87" s="34"/>
      <c r="E87" s="34">
        <v>95.847588162940909</v>
      </c>
      <c r="F87" s="35"/>
      <c r="G87" s="35"/>
      <c r="H87" s="35">
        <f t="shared" si="4"/>
        <v>0.35550499999999996</v>
      </c>
    </row>
    <row r="88" spans="1:8" x14ac:dyDescent="0.35">
      <c r="A88" s="32">
        <v>101</v>
      </c>
      <c r="B88" s="33"/>
      <c r="C88" s="34"/>
      <c r="D88" s="34"/>
      <c r="E88" s="34">
        <v>61.773291333074603</v>
      </c>
      <c r="F88" s="35"/>
      <c r="G88" s="35"/>
      <c r="H88" s="35">
        <f t="shared" si="4"/>
        <v>0.37870200000000004</v>
      </c>
    </row>
    <row r="89" spans="1:8" x14ac:dyDescent="0.35">
      <c r="A89" s="32">
        <v>102</v>
      </c>
      <c r="B89" s="33"/>
      <c r="C89" s="34"/>
      <c r="D89" s="34"/>
      <c r="E89" s="34">
        <v>38.379622358656583</v>
      </c>
      <c r="F89" s="35"/>
      <c r="G89" s="35"/>
      <c r="H89" s="35">
        <f t="shared" si="4"/>
        <v>0.40258799999999989</v>
      </c>
    </row>
    <row r="90" spans="1:8" x14ac:dyDescent="0.35">
      <c r="A90" s="32">
        <v>103</v>
      </c>
      <c r="B90" s="33"/>
      <c r="C90" s="34"/>
      <c r="D90" s="34"/>
      <c r="E90" s="34">
        <v>22.92844695252975</v>
      </c>
      <c r="F90" s="35"/>
      <c r="G90" s="35"/>
      <c r="H90" s="35">
        <f t="shared" si="4"/>
        <v>0.42708999999999997</v>
      </c>
    </row>
    <row r="91" spans="1:8" x14ac:dyDescent="0.35">
      <c r="A91" s="32">
        <v>104</v>
      </c>
      <c r="B91" s="33"/>
      <c r="C91" s="34"/>
      <c r="D91" s="34"/>
      <c r="E91" s="34">
        <v>13.13593654357382</v>
      </c>
      <c r="F91" s="35"/>
      <c r="G91" s="35"/>
      <c r="H91" s="35">
        <f t="shared" si="4"/>
        <v>0.45212699999999995</v>
      </c>
    </row>
    <row r="92" spans="1:8" x14ac:dyDescent="0.35">
      <c r="A92" s="32">
        <v>105</v>
      </c>
      <c r="B92" s="33"/>
      <c r="C92" s="34"/>
      <c r="D92" s="34"/>
      <c r="E92" s="34">
        <v>7.1968249619374198</v>
      </c>
      <c r="F92" s="35"/>
      <c r="G92" s="35"/>
      <c r="H92" s="35">
        <f t="shared" si="4"/>
        <v>0.47760800000000003</v>
      </c>
    </row>
    <row r="93" spans="1:8" x14ac:dyDescent="0.35">
      <c r="A93" s="32">
        <v>106</v>
      </c>
      <c r="B93" s="33"/>
      <c r="C93" s="34"/>
      <c r="D93" s="34"/>
      <c r="E93" s="34">
        <v>3.7595637855164123</v>
      </c>
      <c r="F93" s="35"/>
      <c r="G93" s="35"/>
      <c r="H93" s="35">
        <f t="shared" si="4"/>
        <v>0.50343199999999999</v>
      </c>
    </row>
    <row r="94" spans="1:8" x14ac:dyDescent="0.35">
      <c r="A94" s="32">
        <v>107</v>
      </c>
      <c r="B94" s="33"/>
      <c r="C94" s="34"/>
      <c r="D94" s="34"/>
      <c r="E94" s="34">
        <v>1.8668790698463138</v>
      </c>
      <c r="F94" s="35"/>
      <c r="G94" s="35"/>
      <c r="H94" s="35">
        <f t="shared" si="4"/>
        <v>0.52949299999999999</v>
      </c>
    </row>
    <row r="95" spans="1:8" x14ac:dyDescent="0.35">
      <c r="A95" s="32">
        <v>108</v>
      </c>
      <c r="B95" s="33"/>
      <c r="C95" s="34"/>
      <c r="D95" s="34"/>
      <c r="E95" s="34">
        <v>0.8783796705161796</v>
      </c>
      <c r="F95" s="35"/>
      <c r="G95" s="35"/>
      <c r="H95" s="35">
        <f t="shared" si="4"/>
        <v>0.555674</v>
      </c>
    </row>
    <row r="96" spans="1:8" x14ac:dyDescent="0.35">
      <c r="A96" s="32">
        <v>109</v>
      </c>
      <c r="B96" s="33"/>
      <c r="C96" s="34"/>
      <c r="D96" s="34"/>
      <c r="E96" s="34">
        <v>0.39028692548177202</v>
      </c>
      <c r="F96" s="35"/>
      <c r="G96" s="35"/>
      <c r="H96" s="35">
        <f t="shared" si="4"/>
        <v>0.58185699999999996</v>
      </c>
    </row>
    <row r="97" spans="1:8" x14ac:dyDescent="0.35">
      <c r="A97" s="32">
        <v>110</v>
      </c>
      <c r="B97" s="33"/>
      <c r="C97" s="34"/>
      <c r="D97" s="34"/>
      <c r="E97" s="34">
        <v>0.16319574588172461</v>
      </c>
      <c r="F97" s="35"/>
      <c r="G97" s="35"/>
      <c r="H97" s="35">
        <f t="shared" si="4"/>
        <v>0.60791799999999996</v>
      </c>
    </row>
    <row r="98" spans="1:8" x14ac:dyDescent="0.35">
      <c r="A98" s="32">
        <v>111</v>
      </c>
      <c r="B98" s="33"/>
      <c r="C98" s="34"/>
      <c r="D98" s="34"/>
      <c r="E98" s="34">
        <v>6.3986114436798358E-2</v>
      </c>
      <c r="F98" s="35"/>
      <c r="G98" s="35"/>
      <c r="H98" s="35">
        <f t="shared" si="4"/>
        <v>0.63373100000000004</v>
      </c>
    </row>
    <row r="99" spans="1:8" x14ac:dyDescent="0.35">
      <c r="A99" s="32">
        <v>112</v>
      </c>
      <c r="B99" s="33"/>
      <c r="C99" s="34"/>
      <c r="D99" s="34"/>
      <c r="E99" s="34">
        <v>2.3436130148651695E-2</v>
      </c>
      <c r="F99" s="35"/>
      <c r="G99" s="35"/>
      <c r="H99" s="35">
        <f t="shared" si="4"/>
        <v>0.65917099999999995</v>
      </c>
    </row>
    <row r="100" spans="1:8" x14ac:dyDescent="0.35">
      <c r="A100" s="32">
        <v>113</v>
      </c>
      <c r="B100" s="36"/>
      <c r="C100" s="34"/>
      <c r="D100" s="34"/>
      <c r="E100" s="34">
        <v>7.9877128024348088E-3</v>
      </c>
      <c r="F100" s="35"/>
      <c r="G100" s="35"/>
      <c r="H100" s="35">
        <f t="shared" si="4"/>
        <v>0.684114</v>
      </c>
    </row>
    <row r="101" spans="1:8" x14ac:dyDescent="0.35">
      <c r="A101" s="32">
        <v>114</v>
      </c>
      <c r="B101" s="36"/>
      <c r="C101" s="34"/>
      <c r="D101" s="34"/>
      <c r="E101" s="34">
        <v>2.5232066463099219E-3</v>
      </c>
      <c r="F101" s="35"/>
      <c r="G101" s="35"/>
      <c r="H101" s="35">
        <f t="shared" si="4"/>
        <v>0.70844200000000002</v>
      </c>
    </row>
    <row r="102" spans="1:8" x14ac:dyDescent="0.35">
      <c r="A102" s="32">
        <v>115</v>
      </c>
      <c r="B102" s="36"/>
      <c r="C102" s="34"/>
      <c r="D102" s="34"/>
      <c r="E102" s="34">
        <v>7.3566108338482821E-4</v>
      </c>
      <c r="F102" s="35"/>
      <c r="G102" s="35"/>
      <c r="H102" s="35">
        <f t="shared" si="4"/>
        <v>0.73204199999999997</v>
      </c>
    </row>
    <row r="103" spans="1:8" x14ac:dyDescent="0.35">
      <c r="A103" s="32">
        <v>116</v>
      </c>
      <c r="B103" s="36"/>
      <c r="C103" s="34"/>
      <c r="D103" s="34"/>
      <c r="E103" s="34">
        <v>1.9712627258163182E-4</v>
      </c>
      <c r="F103" s="35"/>
      <c r="G103" s="35"/>
      <c r="H103" s="35">
        <f t="shared" si="4"/>
        <v>0.75480899999999995</v>
      </c>
    </row>
    <row r="104" spans="1:8" x14ac:dyDescent="0.35">
      <c r="A104" s="32">
        <v>117</v>
      </c>
      <c r="B104" s="36"/>
      <c r="C104" s="34"/>
      <c r="D104" s="34"/>
      <c r="E104" s="34">
        <v>4.8333587900562901E-5</v>
      </c>
      <c r="F104" s="35"/>
      <c r="G104" s="35"/>
      <c r="H104" s="35">
        <f t="shared" si="4"/>
        <v>0.77664800000000001</v>
      </c>
    </row>
    <row r="105" spans="1:8" x14ac:dyDescent="0.35">
      <c r="A105" s="32">
        <v>118</v>
      </c>
      <c r="B105" s="36"/>
      <c r="C105" s="34"/>
      <c r="D105" s="34"/>
      <c r="E105" s="34">
        <v>1.0795403524766525E-5</v>
      </c>
      <c r="F105" s="35"/>
      <c r="G105" s="35"/>
      <c r="H105" s="35">
        <f t="shared" si="4"/>
        <v>0.79747699999999999</v>
      </c>
    </row>
    <row r="106" spans="1:8" x14ac:dyDescent="0.35">
      <c r="A106" s="32">
        <v>119</v>
      </c>
      <c r="B106" s="36"/>
      <c r="C106" s="34"/>
      <c r="D106" s="34"/>
      <c r="E106" s="34">
        <v>2.1863175080462909E-6</v>
      </c>
      <c r="F106" s="35"/>
      <c r="G106" s="35"/>
      <c r="H106" s="35">
        <f t="shared" si="4"/>
        <v>0.81722500000000009</v>
      </c>
    </row>
    <row r="107" spans="1:8" x14ac:dyDescent="0.35">
      <c r="A107" s="32">
        <v>120</v>
      </c>
      <c r="B107" s="36"/>
      <c r="C107" s="34"/>
      <c r="D107" s="34"/>
      <c r="E107" s="34">
        <v>3.9960418253316085E-7</v>
      </c>
      <c r="F107" s="35"/>
      <c r="G107" s="35"/>
      <c r="H107" s="35">
        <f>(E107-E108)/E107</f>
        <v>1</v>
      </c>
    </row>
    <row r="108" spans="1:8" x14ac:dyDescent="0.35">
      <c r="A108" s="30"/>
      <c r="B108" s="30"/>
      <c r="C108" s="30"/>
      <c r="D108" s="30"/>
      <c r="E108" s="30"/>
      <c r="F108" s="30"/>
      <c r="G108" s="30"/>
      <c r="H108" s="30"/>
    </row>
    <row r="109" spans="1:8" x14ac:dyDescent="0.35">
      <c r="A109" s="30"/>
      <c r="B109" s="30"/>
      <c r="C109" s="30"/>
      <c r="D109" s="30"/>
      <c r="E109" s="30"/>
      <c r="F109" s="30"/>
      <c r="G109" s="30"/>
      <c r="H109" s="30"/>
    </row>
    <row r="110" spans="1:8" x14ac:dyDescent="0.35">
      <c r="A110" s="30"/>
      <c r="B110" s="30"/>
      <c r="C110" s="30"/>
      <c r="D110" s="30"/>
      <c r="E110" s="30"/>
      <c r="F110" s="30"/>
      <c r="G110" s="30"/>
      <c r="H110" s="30"/>
    </row>
    <row r="111" spans="1:8" x14ac:dyDescent="0.35">
      <c r="A111" s="30"/>
      <c r="B111" s="30"/>
      <c r="C111" s="30"/>
      <c r="D111" s="30"/>
      <c r="E111" s="30"/>
      <c r="F111" s="30"/>
      <c r="G111" s="30"/>
      <c r="H111" s="30"/>
    </row>
    <row r="112" spans="1:8" x14ac:dyDescent="0.35">
      <c r="A112" s="30"/>
      <c r="B112" s="30"/>
      <c r="C112" s="30"/>
      <c r="D112" s="30"/>
      <c r="E112" s="30"/>
      <c r="F112" s="30"/>
      <c r="G112" s="30"/>
      <c r="H112" s="30"/>
    </row>
    <row r="113" spans="1:8" x14ac:dyDescent="0.35">
      <c r="A113" s="30"/>
      <c r="B113" s="30"/>
      <c r="C113" s="30"/>
      <c r="D113" s="30"/>
      <c r="E113" s="30"/>
      <c r="F113" s="30"/>
      <c r="G113" s="30"/>
      <c r="H113" s="30"/>
    </row>
    <row r="114" spans="1:8" x14ac:dyDescent="0.35">
      <c r="A114" s="30"/>
      <c r="B114" s="30"/>
      <c r="C114" s="30"/>
      <c r="D114" s="30"/>
      <c r="E114" s="30"/>
      <c r="F114" s="30"/>
      <c r="G114" s="30"/>
      <c r="H114" s="30"/>
    </row>
    <row r="115" spans="1:8" x14ac:dyDescent="0.35">
      <c r="A115" s="30"/>
      <c r="B115" s="30"/>
      <c r="C115" s="30"/>
      <c r="D115" s="30"/>
      <c r="E115" s="30"/>
      <c r="F115" s="30"/>
      <c r="G115" s="30"/>
      <c r="H115" s="30"/>
    </row>
    <row r="116" spans="1:8" x14ac:dyDescent="0.35">
      <c r="A116" s="30"/>
      <c r="B116" s="30"/>
      <c r="C116" s="30"/>
      <c r="D116" s="30"/>
      <c r="E116" s="30"/>
      <c r="F116" s="30"/>
      <c r="G116" s="30"/>
      <c r="H116" s="30"/>
    </row>
    <row r="117" spans="1:8" x14ac:dyDescent="0.35">
      <c r="A117" s="30"/>
      <c r="B117" s="30"/>
      <c r="C117" s="30"/>
      <c r="D117" s="30"/>
      <c r="E117" s="30"/>
      <c r="F117" s="30"/>
      <c r="G117" s="30"/>
      <c r="H117" s="30"/>
    </row>
    <row r="118" spans="1:8" x14ac:dyDescent="0.35">
      <c r="A118" s="30"/>
      <c r="B118" s="30"/>
      <c r="C118" s="30"/>
      <c r="D118" s="30"/>
      <c r="E118" s="30"/>
      <c r="F118" s="30"/>
      <c r="G118" s="30"/>
      <c r="H118" s="30"/>
    </row>
    <row r="119" spans="1:8" x14ac:dyDescent="0.35">
      <c r="A119" s="30"/>
      <c r="B119" s="30"/>
      <c r="C119" s="30"/>
      <c r="D119" s="30"/>
      <c r="E119" s="30"/>
      <c r="F119" s="30"/>
      <c r="G119" s="30"/>
      <c r="H119" s="3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workbookViewId="0">
      <selection activeCell="A4" sqref="A4"/>
    </sheetView>
  </sheetViews>
  <sheetFormatPr defaultColWidth="11.81640625" defaultRowHeight="14.5" x14ac:dyDescent="0.35"/>
  <cols>
    <col min="1" max="1" width="36" customWidth="1"/>
    <col min="2" max="2" width="10.1796875" customWidth="1"/>
    <col min="6" max="6" width="14.36328125" customWidth="1"/>
  </cols>
  <sheetData>
    <row r="1" spans="1:11" s="28" customFormat="1" ht="21" x14ac:dyDescent="0.5">
      <c r="A1" s="23" t="s">
        <v>31</v>
      </c>
    </row>
    <row r="2" spans="1:11" x14ac:dyDescent="0.35">
      <c r="D2" s="37"/>
    </row>
    <row r="3" spans="1:11" x14ac:dyDescent="0.35">
      <c r="A3" s="38" t="s">
        <v>32</v>
      </c>
      <c r="B3" s="39">
        <v>10</v>
      </c>
      <c r="C3" s="40"/>
      <c r="D3" s="40"/>
      <c r="E3" s="40"/>
    </row>
    <row r="4" spans="1:11" x14ac:dyDescent="0.35">
      <c r="A4" s="38" t="s">
        <v>33</v>
      </c>
      <c r="B4" s="41">
        <v>3750</v>
      </c>
      <c r="C4" s="40"/>
      <c r="D4" s="40"/>
    </row>
    <row r="5" spans="1:11" x14ac:dyDescent="0.35">
      <c r="A5" s="38" t="s">
        <v>34</v>
      </c>
      <c r="B5" s="41">
        <v>50000</v>
      </c>
      <c r="C5" s="40"/>
      <c r="D5" s="40"/>
    </row>
    <row r="6" spans="1:11" x14ac:dyDescent="0.35">
      <c r="A6" s="38" t="s">
        <v>35</v>
      </c>
      <c r="B6" s="41">
        <v>5000</v>
      </c>
      <c r="C6" s="42" t="s">
        <v>36</v>
      </c>
      <c r="E6" s="40"/>
      <c r="F6" s="40"/>
      <c r="G6" s="40"/>
      <c r="H6" s="40"/>
      <c r="I6" s="40"/>
      <c r="J6" s="40"/>
      <c r="K6" s="40"/>
    </row>
    <row r="7" spans="1:11" x14ac:dyDescent="0.35">
      <c r="A7" s="38" t="s">
        <v>37</v>
      </c>
      <c r="B7" s="43">
        <v>0.5</v>
      </c>
      <c r="C7" s="40" t="s">
        <v>38</v>
      </c>
      <c r="D7" s="40"/>
      <c r="E7" s="40"/>
      <c r="F7" s="40"/>
      <c r="G7" s="40"/>
      <c r="H7" s="40"/>
      <c r="I7" s="40"/>
    </row>
    <row r="8" spans="1:11" x14ac:dyDescent="0.35">
      <c r="A8" s="38" t="s">
        <v>39</v>
      </c>
      <c r="B8" s="43">
        <v>1.075</v>
      </c>
      <c r="C8" s="40" t="s">
        <v>40</v>
      </c>
      <c r="D8" s="40"/>
      <c r="E8" s="40"/>
      <c r="F8" s="40"/>
      <c r="G8" s="40"/>
      <c r="H8" s="40"/>
      <c r="I8" s="40"/>
    </row>
    <row r="9" spans="1:11" x14ac:dyDescent="0.35">
      <c r="B9" s="44"/>
    </row>
    <row r="10" spans="1:11" x14ac:dyDescent="0.35">
      <c r="A10" s="45" t="s">
        <v>41</v>
      </c>
      <c r="B10" s="46"/>
      <c r="F10" s="47"/>
      <c r="G10" s="47"/>
      <c r="H10" s="47"/>
      <c r="I10" s="47"/>
      <c r="J10" s="47"/>
    </row>
    <row r="11" spans="1:11" x14ac:dyDescent="0.35">
      <c r="D11" s="7"/>
      <c r="F11" s="47"/>
      <c r="G11" s="47"/>
      <c r="H11" s="47"/>
      <c r="I11" s="47"/>
      <c r="J11" s="47"/>
    </row>
    <row r="12" spans="1:11" x14ac:dyDescent="0.35">
      <c r="A12" s="48" t="s">
        <v>42</v>
      </c>
      <c r="B12" s="39">
        <v>250</v>
      </c>
      <c r="C12" t="s">
        <v>43</v>
      </c>
      <c r="F12" s="47"/>
      <c r="G12" s="49"/>
      <c r="H12" s="47"/>
      <c r="I12" s="49"/>
      <c r="J12" s="47"/>
      <c r="K12" s="40"/>
    </row>
    <row r="13" spans="1:11" x14ac:dyDescent="0.35">
      <c r="A13" s="48" t="s">
        <v>44</v>
      </c>
      <c r="B13" s="39">
        <v>50</v>
      </c>
      <c r="C13" t="s">
        <v>45</v>
      </c>
      <c r="F13" s="47"/>
      <c r="G13" s="49"/>
      <c r="H13" s="47"/>
      <c r="I13" s="49"/>
      <c r="J13" s="47"/>
      <c r="K13" s="40"/>
    </row>
    <row r="14" spans="1:11" x14ac:dyDescent="0.35">
      <c r="A14" s="50" t="s">
        <v>46</v>
      </c>
      <c r="B14" s="51">
        <v>1.4999999999999999E-2</v>
      </c>
      <c r="C14" t="s">
        <v>47</v>
      </c>
      <c r="D14" s="7"/>
      <c r="F14" s="47"/>
      <c r="G14" s="49"/>
      <c r="H14" s="47"/>
      <c r="I14" s="49"/>
      <c r="J14" s="47"/>
    </row>
    <row r="15" spans="1:11" x14ac:dyDescent="0.35">
      <c r="A15" s="52"/>
      <c r="B15" s="53"/>
      <c r="D15" s="7"/>
      <c r="F15" s="47"/>
      <c r="G15" s="49"/>
      <c r="H15" s="47"/>
      <c r="I15" s="49"/>
      <c r="J15" s="47"/>
    </row>
    <row r="16" spans="1:11" x14ac:dyDescent="0.35">
      <c r="A16" s="50" t="s">
        <v>48</v>
      </c>
      <c r="B16" s="43">
        <v>0.05</v>
      </c>
      <c r="C16" t="s">
        <v>49</v>
      </c>
      <c r="D16" s="7"/>
      <c r="F16" s="47"/>
      <c r="G16" s="49"/>
      <c r="H16" s="47"/>
      <c r="I16" s="49"/>
      <c r="J16" s="47"/>
    </row>
    <row r="17" spans="1:10" x14ac:dyDescent="0.35">
      <c r="A17" s="50" t="s">
        <v>50</v>
      </c>
      <c r="B17" s="43">
        <v>5.0000000000000001E-3</v>
      </c>
      <c r="C17" t="s">
        <v>51</v>
      </c>
      <c r="D17" s="7"/>
      <c r="F17" s="47"/>
      <c r="G17" s="49"/>
      <c r="H17" s="47"/>
      <c r="I17" s="49"/>
      <c r="J17" s="47"/>
    </row>
    <row r="18" spans="1:10" x14ac:dyDescent="0.35">
      <c r="A18" s="52"/>
      <c r="B18" s="53"/>
      <c r="D18" s="7"/>
      <c r="F18" s="47"/>
      <c r="G18" s="49"/>
      <c r="H18" s="47"/>
      <c r="I18" s="49"/>
      <c r="J18" s="47"/>
    </row>
    <row r="19" spans="1:10" x14ac:dyDescent="0.35">
      <c r="A19" s="48" t="s">
        <v>52</v>
      </c>
      <c r="B19" s="43">
        <v>7.4999999999999997E-2</v>
      </c>
      <c r="F19" s="47"/>
      <c r="G19" s="49"/>
      <c r="H19" s="47"/>
      <c r="I19" s="47"/>
      <c r="J19" s="47"/>
    </row>
    <row r="20" spans="1:10" x14ac:dyDescent="0.35">
      <c r="A20" s="48" t="s">
        <v>53</v>
      </c>
      <c r="B20" s="54">
        <v>0.15</v>
      </c>
      <c r="F20" s="47"/>
      <c r="G20" s="49"/>
      <c r="H20" s="47"/>
      <c r="I20" s="47"/>
      <c r="J20" s="47"/>
    </row>
    <row r="21" spans="1:10" x14ac:dyDescent="0.35">
      <c r="B21" s="37"/>
      <c r="F21" s="47"/>
      <c r="G21" s="49"/>
      <c r="H21" s="47"/>
      <c r="I21" s="47"/>
      <c r="J21" s="47"/>
    </row>
    <row r="22" spans="1:10" x14ac:dyDescent="0.35">
      <c r="A22" s="48" t="s">
        <v>54</v>
      </c>
      <c r="B22" s="43">
        <v>3.5000000000000003E-2</v>
      </c>
      <c r="C22" t="s">
        <v>55</v>
      </c>
      <c r="D22" s="7"/>
      <c r="F22" s="47"/>
      <c r="G22" s="49"/>
      <c r="H22" s="47"/>
      <c r="I22" s="47"/>
      <c r="J22" s="47"/>
    </row>
    <row r="23" spans="1:10" x14ac:dyDescent="0.35">
      <c r="A23" s="48" t="s">
        <v>56</v>
      </c>
      <c r="B23" s="43">
        <v>0.01</v>
      </c>
      <c r="C23" t="s">
        <v>55</v>
      </c>
      <c r="D23" s="7"/>
      <c r="F23" s="47"/>
      <c r="G23" s="49"/>
      <c r="H23" s="47"/>
      <c r="I23" s="47"/>
      <c r="J23" s="4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7"/>
  <sheetViews>
    <sheetView workbookViewId="0"/>
  </sheetViews>
  <sheetFormatPr defaultColWidth="11.81640625" defaultRowHeight="14.5" x14ac:dyDescent="0.35"/>
  <cols>
    <col min="6" max="6" width="12.81640625" customWidth="1"/>
    <col min="7" max="7" width="13.36328125" customWidth="1"/>
    <col min="17" max="17" width="12.81640625" customWidth="1"/>
    <col min="18" max="18" width="12.6328125" customWidth="1"/>
  </cols>
  <sheetData>
    <row r="1" spans="1:22" s="28" customFormat="1" ht="21" x14ac:dyDescent="0.5">
      <c r="A1" s="23" t="s">
        <v>57</v>
      </c>
    </row>
    <row r="2" spans="1:22" x14ac:dyDescent="0.35">
      <c r="A2" s="55" t="s">
        <v>58</v>
      </c>
      <c r="B2" s="56"/>
      <c r="C2" s="57" t="s">
        <v>59</v>
      </c>
      <c r="D2" s="57" t="s">
        <v>60</v>
      </c>
      <c r="M2" s="55" t="s">
        <v>61</v>
      </c>
      <c r="N2" s="56"/>
      <c r="O2" s="57" t="s">
        <v>59</v>
      </c>
      <c r="P2" s="57" t="s">
        <v>60</v>
      </c>
    </row>
    <row r="3" spans="1:22" x14ac:dyDescent="0.35">
      <c r="A3" s="48" t="s">
        <v>62</v>
      </c>
      <c r="B3" s="48"/>
      <c r="C3" s="39">
        <f>'Q1 Inputs'!B19</f>
        <v>7.4999999999999997E-2</v>
      </c>
      <c r="D3" s="39">
        <f>'Q1 Inputs'!B20</f>
        <v>0.15</v>
      </c>
      <c r="M3" s="48" t="s">
        <v>62</v>
      </c>
      <c r="N3" s="48"/>
      <c r="O3" s="39">
        <f>'Q1 Inputs'!B19</f>
        <v>7.4999999999999997E-2</v>
      </c>
      <c r="P3" s="39">
        <f>'Q1 Inputs'!B20</f>
        <v>0.15</v>
      </c>
    </row>
    <row r="5" spans="1:22" x14ac:dyDescent="0.35">
      <c r="B5" s="36"/>
      <c r="C5" s="36"/>
      <c r="D5" s="36"/>
      <c r="E5" s="36"/>
      <c r="F5" s="36"/>
      <c r="G5" s="36"/>
      <c r="H5" s="36"/>
      <c r="I5" s="36"/>
      <c r="J5" s="36"/>
      <c r="M5" s="36"/>
      <c r="N5" s="58"/>
      <c r="O5" s="58"/>
      <c r="P5" s="58"/>
      <c r="Q5" s="58"/>
      <c r="R5" s="58"/>
      <c r="S5" s="58"/>
      <c r="T5" s="58"/>
      <c r="U5" s="36"/>
    </row>
    <row r="6" spans="1:22" x14ac:dyDescent="0.35">
      <c r="B6" s="135" t="s">
        <v>63</v>
      </c>
      <c r="C6" s="136"/>
      <c r="D6" s="137"/>
      <c r="E6" s="59" t="s">
        <v>64</v>
      </c>
      <c r="F6" s="59" t="s">
        <v>65</v>
      </c>
      <c r="G6" s="60" t="s">
        <v>65</v>
      </c>
      <c r="H6" s="135" t="s">
        <v>66</v>
      </c>
      <c r="I6" s="136"/>
      <c r="J6" s="137"/>
      <c r="K6" s="40"/>
      <c r="M6" s="135" t="s">
        <v>63</v>
      </c>
      <c r="N6" s="136"/>
      <c r="O6" s="137"/>
      <c r="P6" s="59" t="s">
        <v>64</v>
      </c>
      <c r="Q6" s="59" t="s">
        <v>65</v>
      </c>
      <c r="R6" s="60" t="s">
        <v>65</v>
      </c>
      <c r="S6" s="135" t="s">
        <v>66</v>
      </c>
      <c r="T6" s="136"/>
      <c r="U6" s="137"/>
      <c r="V6" s="40"/>
    </row>
    <row r="7" spans="1:22" x14ac:dyDescent="0.35">
      <c r="A7" s="57" t="s">
        <v>67</v>
      </c>
      <c r="B7" s="61" t="s">
        <v>68</v>
      </c>
      <c r="C7" s="62" t="s">
        <v>59</v>
      </c>
      <c r="D7" s="62" t="s">
        <v>60</v>
      </c>
      <c r="E7" s="62" t="s">
        <v>69</v>
      </c>
      <c r="F7" s="62" t="s">
        <v>156</v>
      </c>
      <c r="G7" s="62" t="s">
        <v>157</v>
      </c>
      <c r="H7" s="63" t="s">
        <v>68</v>
      </c>
      <c r="I7" s="63" t="s">
        <v>59</v>
      </c>
      <c r="J7" s="63" t="s">
        <v>60</v>
      </c>
      <c r="L7" s="57" t="s">
        <v>67</v>
      </c>
      <c r="M7" s="59" t="s">
        <v>68</v>
      </c>
      <c r="N7" s="59" t="s">
        <v>59</v>
      </c>
      <c r="O7" s="59" t="s">
        <v>60</v>
      </c>
      <c r="P7" s="64" t="s">
        <v>69</v>
      </c>
      <c r="Q7" s="62" t="s">
        <v>156</v>
      </c>
      <c r="R7" s="62" t="s">
        <v>157</v>
      </c>
      <c r="S7" s="63" t="s">
        <v>68</v>
      </c>
      <c r="T7" s="63" t="s">
        <v>59</v>
      </c>
      <c r="U7" s="63" t="s">
        <v>60</v>
      </c>
    </row>
    <row r="8" spans="1:22" x14ac:dyDescent="0.35">
      <c r="A8" s="57">
        <v>1</v>
      </c>
      <c r="B8" s="65"/>
      <c r="C8" s="66"/>
      <c r="D8" s="66"/>
      <c r="E8" s="65"/>
      <c r="F8" s="65"/>
      <c r="G8" s="65"/>
      <c r="H8" s="65"/>
      <c r="I8" s="65"/>
      <c r="J8" s="65"/>
      <c r="L8" s="57">
        <v>1</v>
      </c>
      <c r="M8" s="65"/>
      <c r="N8" s="66"/>
      <c r="O8" s="66"/>
      <c r="P8" s="65"/>
      <c r="Q8" s="65"/>
      <c r="R8" s="65"/>
      <c r="S8" s="65"/>
      <c r="T8" s="65"/>
      <c r="U8" s="65"/>
    </row>
    <row r="9" spans="1:22" x14ac:dyDescent="0.35">
      <c r="A9" s="57">
        <v>2</v>
      </c>
      <c r="B9" s="65"/>
      <c r="C9" s="65"/>
      <c r="D9" s="66"/>
      <c r="E9" s="65"/>
      <c r="F9" s="65"/>
      <c r="G9" s="65"/>
      <c r="H9" s="65"/>
      <c r="I9" s="65"/>
      <c r="J9" s="65"/>
      <c r="L9" s="57">
        <v>2</v>
      </c>
      <c r="M9" s="65"/>
      <c r="N9" s="65"/>
      <c r="O9" s="65"/>
      <c r="P9" s="65"/>
      <c r="Q9" s="65"/>
      <c r="R9" s="65"/>
      <c r="S9" s="65"/>
      <c r="T9" s="65"/>
      <c r="U9" s="65"/>
    </row>
    <row r="10" spans="1:22" x14ac:dyDescent="0.35">
      <c r="A10" s="57">
        <v>3</v>
      </c>
      <c r="B10" s="65"/>
      <c r="C10" s="65"/>
      <c r="D10" s="66"/>
      <c r="E10" s="65"/>
      <c r="F10" s="65"/>
      <c r="G10" s="65"/>
      <c r="H10" s="65"/>
      <c r="I10" s="65"/>
      <c r="J10" s="65"/>
      <c r="L10" s="57">
        <v>3</v>
      </c>
      <c r="M10" s="65"/>
      <c r="N10" s="65"/>
      <c r="O10" s="65"/>
      <c r="P10" s="65"/>
      <c r="Q10" s="65"/>
      <c r="R10" s="65"/>
      <c r="S10" s="65"/>
      <c r="T10" s="65"/>
      <c r="U10" s="65"/>
    </row>
    <row r="11" spans="1:22" x14ac:dyDescent="0.35">
      <c r="A11" s="57">
        <v>4</v>
      </c>
      <c r="B11" s="65"/>
      <c r="C11" s="65"/>
      <c r="D11" s="66"/>
      <c r="E11" s="65"/>
      <c r="F11" s="65"/>
      <c r="G11" s="65"/>
      <c r="H11" s="65"/>
      <c r="I11" s="65"/>
      <c r="J11" s="65"/>
      <c r="L11" s="57">
        <v>4</v>
      </c>
      <c r="M11" s="65"/>
      <c r="N11" s="65"/>
      <c r="O11" s="65"/>
      <c r="P11" s="65"/>
      <c r="Q11" s="65"/>
      <c r="R11" s="65"/>
      <c r="S11" s="65"/>
      <c r="T11" s="65"/>
      <c r="U11" s="65"/>
    </row>
    <row r="12" spans="1:22" x14ac:dyDescent="0.35">
      <c r="A12" s="57">
        <v>5</v>
      </c>
      <c r="B12" s="65"/>
      <c r="C12" s="65"/>
      <c r="D12" s="66"/>
      <c r="E12" s="65"/>
      <c r="F12" s="65"/>
      <c r="G12" s="65"/>
      <c r="H12" s="65"/>
      <c r="I12" s="65"/>
      <c r="J12" s="65"/>
      <c r="L12" s="57">
        <v>5</v>
      </c>
      <c r="M12" s="65"/>
      <c r="N12" s="65"/>
      <c r="O12" s="65"/>
      <c r="P12" s="65"/>
      <c r="Q12" s="65"/>
      <c r="R12" s="65"/>
      <c r="S12" s="65"/>
      <c r="T12" s="65"/>
      <c r="U12" s="65"/>
    </row>
    <row r="13" spans="1:22" x14ac:dyDescent="0.35">
      <c r="A13" s="57">
        <v>6</v>
      </c>
      <c r="B13" s="65"/>
      <c r="C13" s="65"/>
      <c r="D13" s="66"/>
      <c r="E13" s="65"/>
      <c r="F13" s="65"/>
      <c r="G13" s="65"/>
      <c r="H13" s="65"/>
      <c r="I13" s="65"/>
      <c r="J13" s="65"/>
      <c r="L13" s="57">
        <v>6</v>
      </c>
      <c r="M13" s="65"/>
      <c r="N13" s="65"/>
      <c r="O13" s="65"/>
      <c r="P13" s="65"/>
      <c r="Q13" s="65"/>
      <c r="R13" s="65"/>
      <c r="S13" s="65"/>
      <c r="T13" s="65"/>
      <c r="U13" s="65"/>
    </row>
    <row r="14" spans="1:22" x14ac:dyDescent="0.35">
      <c r="A14" s="57">
        <v>7</v>
      </c>
      <c r="B14" s="65"/>
      <c r="C14" s="65"/>
      <c r="D14" s="66"/>
      <c r="E14" s="65"/>
      <c r="F14" s="65"/>
      <c r="G14" s="65"/>
      <c r="H14" s="65"/>
      <c r="I14" s="65"/>
      <c r="J14" s="65"/>
      <c r="L14" s="57">
        <v>7</v>
      </c>
      <c r="M14" s="65"/>
      <c r="N14" s="65"/>
      <c r="O14" s="65"/>
      <c r="P14" s="65"/>
      <c r="Q14" s="65"/>
      <c r="R14" s="65"/>
      <c r="S14" s="65"/>
      <c r="T14" s="65"/>
      <c r="U14" s="65"/>
    </row>
    <row r="15" spans="1:22" x14ac:dyDescent="0.35">
      <c r="A15" s="57">
        <v>8</v>
      </c>
      <c r="B15" s="65"/>
      <c r="C15" s="65"/>
      <c r="D15" s="66"/>
      <c r="E15" s="65"/>
      <c r="F15" s="65"/>
      <c r="G15" s="65"/>
      <c r="H15" s="65"/>
      <c r="I15" s="65"/>
      <c r="J15" s="65"/>
      <c r="L15" s="57">
        <v>8</v>
      </c>
      <c r="M15" s="65"/>
      <c r="N15" s="65"/>
      <c r="O15" s="65"/>
      <c r="P15" s="65"/>
      <c r="Q15" s="65"/>
      <c r="R15" s="65"/>
      <c r="S15" s="65"/>
      <c r="T15" s="65"/>
      <c r="U15" s="65"/>
    </row>
    <row r="16" spans="1:22" x14ac:dyDescent="0.35">
      <c r="A16" s="57">
        <v>9</v>
      </c>
      <c r="B16" s="65"/>
      <c r="C16" s="65"/>
      <c r="D16" s="66"/>
      <c r="E16" s="65"/>
      <c r="F16" s="65"/>
      <c r="G16" s="65"/>
      <c r="H16" s="65"/>
      <c r="I16" s="65"/>
      <c r="J16" s="65"/>
      <c r="L16" s="57">
        <v>9</v>
      </c>
      <c r="M16" s="65"/>
      <c r="N16" s="65"/>
      <c r="O16" s="65"/>
      <c r="P16" s="65"/>
      <c r="Q16" s="65"/>
      <c r="R16" s="65"/>
      <c r="S16" s="65"/>
      <c r="T16" s="65"/>
      <c r="U16" s="65"/>
    </row>
    <row r="17" spans="1:21" x14ac:dyDescent="0.35">
      <c r="A17" s="57">
        <v>10</v>
      </c>
      <c r="B17" s="65"/>
      <c r="C17" s="65"/>
      <c r="D17" s="66"/>
      <c r="E17" s="65"/>
      <c r="F17" s="65"/>
      <c r="G17" s="65"/>
      <c r="H17" s="65"/>
      <c r="I17" s="65"/>
      <c r="J17" s="65"/>
      <c r="L17" s="57">
        <v>10</v>
      </c>
      <c r="M17" s="65"/>
      <c r="N17" s="65"/>
      <c r="O17" s="65"/>
      <c r="P17" s="65"/>
      <c r="Q17" s="65"/>
      <c r="R17" s="65"/>
      <c r="S17" s="65"/>
      <c r="T17" s="65"/>
      <c r="U17" s="65"/>
    </row>
  </sheetData>
  <mergeCells count="4">
    <mergeCell ref="B6:D6"/>
    <mergeCell ref="H6:J6"/>
    <mergeCell ref="M6:O6"/>
    <mergeCell ref="S6:U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68"/>
  <sheetViews>
    <sheetView workbookViewId="0">
      <selection activeCell="A4" sqref="A4"/>
    </sheetView>
  </sheetViews>
  <sheetFormatPr defaultColWidth="11.81640625" defaultRowHeight="14.5" x14ac:dyDescent="0.35"/>
  <cols>
    <col min="1" max="1" width="35.453125" customWidth="1"/>
    <col min="3" max="3" width="6.453125" customWidth="1"/>
    <col min="15" max="15" width="14.54296875" customWidth="1"/>
    <col min="18" max="18" width="14.453125" customWidth="1"/>
    <col min="19" max="19" width="12.81640625" customWidth="1"/>
    <col min="21" max="21" width="13.81640625" customWidth="1"/>
    <col min="22" max="22" width="16.08984375" customWidth="1"/>
  </cols>
  <sheetData>
    <row r="1" spans="1:23" s="28" customFormat="1" ht="21" x14ac:dyDescent="0.5">
      <c r="A1" s="23" t="s">
        <v>71</v>
      </c>
    </row>
    <row r="2" spans="1:23" s="58" customFormat="1" x14ac:dyDescent="0.35">
      <c r="D2" s="67"/>
      <c r="E2" s="68"/>
      <c r="F2" s="68"/>
      <c r="G2" s="68"/>
      <c r="H2" s="67"/>
      <c r="I2" s="68"/>
      <c r="J2" s="68"/>
      <c r="K2" s="68"/>
      <c r="L2" s="68"/>
      <c r="M2" s="68"/>
      <c r="N2" s="68"/>
      <c r="O2" s="68"/>
      <c r="P2" s="68"/>
      <c r="Q2" s="68"/>
      <c r="R2" s="68"/>
      <c r="S2" s="68"/>
      <c r="T2" s="68"/>
      <c r="U2" s="68"/>
      <c r="V2" s="68"/>
      <c r="W2" s="68"/>
    </row>
    <row r="3" spans="1:23" x14ac:dyDescent="0.35">
      <c r="A3" s="38" t="s">
        <v>32</v>
      </c>
      <c r="B3" s="39">
        <v>10</v>
      </c>
      <c r="D3" s="59" t="s">
        <v>67</v>
      </c>
      <c r="E3" s="59" t="s">
        <v>72</v>
      </c>
      <c r="F3" s="59" t="s">
        <v>73</v>
      </c>
      <c r="G3" s="59" t="s">
        <v>74</v>
      </c>
      <c r="H3" s="59" t="s">
        <v>75</v>
      </c>
      <c r="I3" s="59" t="s">
        <v>75</v>
      </c>
      <c r="J3" s="59" t="s">
        <v>76</v>
      </c>
      <c r="K3" s="59" t="s">
        <v>77</v>
      </c>
      <c r="L3" s="59" t="s">
        <v>78</v>
      </c>
      <c r="M3" s="59" t="s">
        <v>59</v>
      </c>
      <c r="N3" s="59" t="s">
        <v>59</v>
      </c>
      <c r="O3" s="59" t="s">
        <v>78</v>
      </c>
      <c r="P3" s="59" t="s">
        <v>60</v>
      </c>
      <c r="Q3" s="59" t="s">
        <v>60</v>
      </c>
      <c r="R3" s="59" t="s">
        <v>78</v>
      </c>
      <c r="S3" s="59" t="s">
        <v>65</v>
      </c>
      <c r="T3" s="59" t="s">
        <v>79</v>
      </c>
      <c r="U3" s="59" t="s">
        <v>78</v>
      </c>
      <c r="V3" s="59" t="s">
        <v>80</v>
      </c>
      <c r="W3" s="59" t="s">
        <v>81</v>
      </c>
    </row>
    <row r="4" spans="1:23" x14ac:dyDescent="0.35">
      <c r="A4" s="38" t="s">
        <v>33</v>
      </c>
      <c r="B4" s="41">
        <v>3750</v>
      </c>
      <c r="D4" s="62"/>
      <c r="E4" s="62"/>
      <c r="F4" s="62"/>
      <c r="G4" s="62"/>
      <c r="H4" s="62" t="s">
        <v>82</v>
      </c>
      <c r="I4" s="62" t="s">
        <v>83</v>
      </c>
      <c r="J4" s="62" t="s">
        <v>84</v>
      </c>
      <c r="K4" s="62" t="s">
        <v>85</v>
      </c>
      <c r="L4" s="62" t="s">
        <v>86</v>
      </c>
      <c r="M4" s="62" t="s">
        <v>84</v>
      </c>
      <c r="N4" s="62" t="s">
        <v>87</v>
      </c>
      <c r="O4" s="62" t="s">
        <v>88</v>
      </c>
      <c r="P4" s="62" t="s">
        <v>84</v>
      </c>
      <c r="Q4" s="62" t="s">
        <v>87</v>
      </c>
      <c r="R4" s="62" t="s">
        <v>89</v>
      </c>
      <c r="S4" s="62" t="s">
        <v>70</v>
      </c>
      <c r="T4" s="62" t="s">
        <v>87</v>
      </c>
      <c r="U4" s="62" t="s">
        <v>90</v>
      </c>
      <c r="V4" s="62" t="s">
        <v>91</v>
      </c>
      <c r="W4" s="62" t="s">
        <v>92</v>
      </c>
    </row>
    <row r="5" spans="1:23" x14ac:dyDescent="0.35">
      <c r="A5" s="38" t="s">
        <v>34</v>
      </c>
      <c r="B5" s="41">
        <v>50000</v>
      </c>
      <c r="D5" s="57">
        <v>1</v>
      </c>
      <c r="E5" s="69"/>
      <c r="F5" s="69"/>
      <c r="G5" s="69"/>
      <c r="H5" s="69"/>
      <c r="I5" s="69"/>
      <c r="J5" s="69"/>
      <c r="K5" s="69"/>
      <c r="L5" s="69"/>
      <c r="M5" s="69"/>
      <c r="N5" s="69"/>
      <c r="O5" s="69"/>
      <c r="P5" s="69"/>
      <c r="Q5" s="69"/>
      <c r="R5" s="69"/>
      <c r="S5" s="69"/>
      <c r="T5" s="69"/>
      <c r="U5" s="69"/>
      <c r="V5" s="69"/>
      <c r="W5" s="69"/>
    </row>
    <row r="6" spans="1:23" x14ac:dyDescent="0.35">
      <c r="A6" s="38" t="s">
        <v>35</v>
      </c>
      <c r="B6" s="41">
        <v>5000</v>
      </c>
      <c r="D6" s="57">
        <v>2</v>
      </c>
      <c r="E6" s="69"/>
      <c r="F6" s="69"/>
      <c r="G6" s="69"/>
      <c r="H6" s="69"/>
      <c r="I6" s="69"/>
      <c r="J6" s="69"/>
      <c r="K6" s="69"/>
      <c r="L6" s="69"/>
      <c r="M6" s="69"/>
      <c r="N6" s="69"/>
      <c r="O6" s="69"/>
      <c r="P6" s="69"/>
      <c r="Q6" s="69"/>
      <c r="R6" s="69"/>
      <c r="S6" s="69"/>
      <c r="T6" s="69"/>
      <c r="U6" s="69"/>
      <c r="V6" s="69"/>
      <c r="W6" s="69"/>
    </row>
    <row r="7" spans="1:23" x14ac:dyDescent="0.35">
      <c r="A7" s="38" t="s">
        <v>37</v>
      </c>
      <c r="B7" s="43">
        <v>0.5</v>
      </c>
      <c r="D7" s="57">
        <v>3</v>
      </c>
      <c r="E7" s="69"/>
      <c r="F7" s="69"/>
      <c r="G7" s="69"/>
      <c r="H7" s="69"/>
      <c r="I7" s="69"/>
      <c r="J7" s="69"/>
      <c r="K7" s="69"/>
      <c r="L7" s="69"/>
      <c r="M7" s="69"/>
      <c r="N7" s="69"/>
      <c r="O7" s="69"/>
      <c r="P7" s="69"/>
      <c r="Q7" s="69"/>
      <c r="R7" s="69"/>
      <c r="S7" s="69"/>
      <c r="T7" s="69"/>
      <c r="U7" s="69"/>
      <c r="V7" s="69"/>
      <c r="W7" s="69"/>
    </row>
    <row r="8" spans="1:23" x14ac:dyDescent="0.35">
      <c r="A8" s="38" t="s">
        <v>39</v>
      </c>
      <c r="B8" s="43">
        <v>1.075</v>
      </c>
      <c r="D8" s="57">
        <v>4</v>
      </c>
      <c r="E8" s="69"/>
      <c r="F8" s="69"/>
      <c r="G8" s="69"/>
      <c r="H8" s="69"/>
      <c r="I8" s="69"/>
      <c r="J8" s="69"/>
      <c r="K8" s="69"/>
      <c r="L8" s="69"/>
      <c r="M8" s="69"/>
      <c r="N8" s="69"/>
      <c r="O8" s="69"/>
      <c r="P8" s="69"/>
      <c r="Q8" s="69"/>
      <c r="R8" s="69"/>
      <c r="S8" s="69"/>
      <c r="T8" s="69"/>
      <c r="U8" s="69"/>
      <c r="V8" s="69"/>
      <c r="W8" s="69"/>
    </row>
    <row r="9" spans="1:23" x14ac:dyDescent="0.35">
      <c r="B9" s="44"/>
      <c r="D9" s="57">
        <v>5</v>
      </c>
      <c r="E9" s="69"/>
      <c r="F9" s="69"/>
      <c r="G9" s="69"/>
      <c r="H9" s="69"/>
      <c r="I9" s="69"/>
      <c r="J9" s="69"/>
      <c r="K9" s="69"/>
      <c r="L9" s="69"/>
      <c r="M9" s="69"/>
      <c r="N9" s="69"/>
      <c r="O9" s="69"/>
      <c r="P9" s="69"/>
      <c r="Q9" s="69"/>
      <c r="R9" s="69"/>
      <c r="S9" s="69"/>
      <c r="T9" s="69"/>
      <c r="U9" s="69"/>
      <c r="V9" s="69"/>
      <c r="W9" s="69"/>
    </row>
    <row r="10" spans="1:23" x14ac:dyDescent="0.35">
      <c r="A10" s="45" t="s">
        <v>41</v>
      </c>
      <c r="B10" s="46"/>
      <c r="D10" s="57">
        <v>6</v>
      </c>
      <c r="E10" s="69"/>
      <c r="F10" s="69"/>
      <c r="G10" s="69"/>
      <c r="H10" s="69"/>
      <c r="I10" s="69"/>
      <c r="J10" s="69"/>
      <c r="K10" s="69"/>
      <c r="L10" s="69"/>
      <c r="M10" s="69"/>
      <c r="N10" s="69"/>
      <c r="O10" s="69"/>
      <c r="P10" s="69"/>
      <c r="Q10" s="69"/>
      <c r="R10" s="69"/>
      <c r="S10" s="69"/>
      <c r="T10" s="69"/>
      <c r="U10" s="69"/>
      <c r="V10" s="69"/>
      <c r="W10" s="69"/>
    </row>
    <row r="11" spans="1:23" x14ac:dyDescent="0.35">
      <c r="D11" s="57">
        <v>7</v>
      </c>
      <c r="E11" s="69"/>
      <c r="F11" s="69"/>
      <c r="G11" s="69"/>
      <c r="H11" s="69"/>
      <c r="I11" s="69"/>
      <c r="J11" s="69"/>
      <c r="K11" s="69"/>
      <c r="L11" s="69"/>
      <c r="M11" s="69"/>
      <c r="N11" s="69"/>
      <c r="O11" s="69"/>
      <c r="P11" s="69"/>
      <c r="Q11" s="69"/>
      <c r="R11" s="69"/>
      <c r="S11" s="69"/>
      <c r="T11" s="69"/>
      <c r="U11" s="69"/>
      <c r="V11" s="69"/>
      <c r="W11" s="69"/>
    </row>
    <row r="12" spans="1:23" x14ac:dyDescent="0.35">
      <c r="A12" s="48" t="s">
        <v>42</v>
      </c>
      <c r="B12" s="39">
        <v>250</v>
      </c>
      <c r="D12" s="57">
        <v>8</v>
      </c>
      <c r="E12" s="69"/>
      <c r="F12" s="69"/>
      <c r="G12" s="69"/>
      <c r="H12" s="69"/>
      <c r="I12" s="69"/>
      <c r="J12" s="69"/>
      <c r="K12" s="69"/>
      <c r="L12" s="69"/>
      <c r="M12" s="69"/>
      <c r="N12" s="69"/>
      <c r="O12" s="69"/>
      <c r="P12" s="69"/>
      <c r="Q12" s="69"/>
      <c r="R12" s="69"/>
      <c r="S12" s="69"/>
      <c r="T12" s="69"/>
      <c r="U12" s="69"/>
      <c r="V12" s="69"/>
      <c r="W12" s="69"/>
    </row>
    <row r="13" spans="1:23" x14ac:dyDescent="0.35">
      <c r="A13" s="48" t="s">
        <v>44</v>
      </c>
      <c r="B13" s="39">
        <v>50</v>
      </c>
      <c r="D13" s="57">
        <v>9</v>
      </c>
      <c r="E13" s="69"/>
      <c r="F13" s="69"/>
      <c r="G13" s="69"/>
      <c r="H13" s="69"/>
      <c r="I13" s="69"/>
      <c r="J13" s="69"/>
      <c r="K13" s="69"/>
      <c r="L13" s="69"/>
      <c r="M13" s="69"/>
      <c r="N13" s="69"/>
      <c r="O13" s="69"/>
      <c r="P13" s="69"/>
      <c r="Q13" s="69"/>
      <c r="R13" s="69"/>
      <c r="S13" s="69"/>
      <c r="T13" s="69"/>
      <c r="U13" s="69"/>
      <c r="V13" s="69"/>
      <c r="W13" s="69"/>
    </row>
    <row r="14" spans="1:23" x14ac:dyDescent="0.35">
      <c r="A14" s="50" t="s">
        <v>46</v>
      </c>
      <c r="B14" s="51">
        <v>1.4999999999999999E-2</v>
      </c>
      <c r="D14" s="57">
        <v>10</v>
      </c>
      <c r="E14" s="69"/>
      <c r="F14" s="69"/>
      <c r="G14" s="69"/>
      <c r="H14" s="69"/>
      <c r="I14" s="69"/>
      <c r="J14" s="69"/>
      <c r="K14" s="69"/>
      <c r="L14" s="69"/>
      <c r="M14" s="69"/>
      <c r="N14" s="69"/>
      <c r="O14" s="69"/>
      <c r="P14" s="69"/>
      <c r="Q14" s="69"/>
      <c r="R14" s="69"/>
      <c r="S14" s="69"/>
      <c r="T14" s="69"/>
      <c r="U14" s="69"/>
      <c r="V14" s="69"/>
      <c r="W14" s="69"/>
    </row>
    <row r="15" spans="1:23" x14ac:dyDescent="0.35">
      <c r="A15" s="52"/>
      <c r="B15" s="53"/>
      <c r="D15" s="70"/>
      <c r="E15" s="71"/>
      <c r="F15" s="72"/>
      <c r="G15" s="71"/>
      <c r="H15" s="70"/>
      <c r="I15" s="72"/>
      <c r="J15" s="73"/>
      <c r="K15" s="74"/>
      <c r="L15" s="72"/>
      <c r="M15" s="73"/>
      <c r="N15" s="72"/>
      <c r="O15" s="75"/>
      <c r="P15" s="73"/>
      <c r="Q15" s="75"/>
      <c r="R15" s="75"/>
      <c r="S15" s="73"/>
      <c r="T15" s="74"/>
      <c r="U15" s="72"/>
      <c r="V15" s="72"/>
      <c r="W15" s="72"/>
    </row>
    <row r="16" spans="1:23" x14ac:dyDescent="0.35">
      <c r="A16" s="50" t="s">
        <v>48</v>
      </c>
      <c r="B16" s="43">
        <v>0.05</v>
      </c>
      <c r="C16" s="76"/>
      <c r="D16" s="76"/>
      <c r="G16" s="77"/>
      <c r="H16" s="78"/>
      <c r="I16" s="76"/>
      <c r="L16" s="79"/>
      <c r="M16" s="79"/>
      <c r="N16" s="79"/>
      <c r="O16" s="79"/>
      <c r="P16" s="77"/>
      <c r="Q16" s="77"/>
      <c r="R16" s="76"/>
      <c r="S16" s="76"/>
      <c r="T16" s="76"/>
    </row>
    <row r="17" spans="1:47" x14ac:dyDescent="0.35">
      <c r="A17" s="50" t="s">
        <v>50</v>
      </c>
      <c r="B17" s="43">
        <v>5.0000000000000001E-3</v>
      </c>
    </row>
    <row r="18" spans="1:47" x14ac:dyDescent="0.35">
      <c r="A18" s="52"/>
      <c r="B18" s="53"/>
    </row>
    <row r="19" spans="1:47" x14ac:dyDescent="0.35">
      <c r="A19" s="48" t="s">
        <v>52</v>
      </c>
      <c r="B19" s="43">
        <v>7.4999999999999997E-2</v>
      </c>
      <c r="D19" s="76"/>
      <c r="G19" s="77"/>
      <c r="H19" s="78"/>
      <c r="I19" s="76"/>
      <c r="L19" s="79"/>
      <c r="M19" s="79"/>
      <c r="N19" s="79"/>
      <c r="O19" s="79"/>
      <c r="P19" s="77"/>
      <c r="Q19" s="77"/>
      <c r="R19" s="76"/>
      <c r="S19" s="76"/>
      <c r="T19" s="76"/>
      <c r="V19" s="76"/>
      <c r="W19" s="76"/>
      <c r="X19" s="76"/>
      <c r="Z19" s="76"/>
      <c r="AA19" s="77"/>
      <c r="AB19" s="77"/>
      <c r="AC19" s="76"/>
      <c r="AF19" s="79"/>
      <c r="AG19" s="79"/>
      <c r="AH19" s="79"/>
      <c r="AI19" s="79"/>
      <c r="AJ19" s="79"/>
      <c r="AK19" s="79"/>
      <c r="AL19" s="79"/>
      <c r="AM19" s="76"/>
      <c r="AN19" s="76"/>
      <c r="AO19" s="76"/>
      <c r="AP19" s="76"/>
      <c r="AQ19" s="76"/>
      <c r="AR19" s="80"/>
      <c r="AS19" s="76"/>
      <c r="AT19" s="80"/>
      <c r="AU19" s="76"/>
    </row>
    <row r="20" spans="1:47" x14ac:dyDescent="0.35">
      <c r="A20" s="48" t="s">
        <v>53</v>
      </c>
      <c r="B20" s="54">
        <v>0.15</v>
      </c>
      <c r="D20" s="76"/>
      <c r="G20" s="77"/>
      <c r="H20" s="78"/>
      <c r="I20" s="76"/>
      <c r="L20" s="79"/>
      <c r="M20" s="79"/>
      <c r="N20" s="79"/>
      <c r="O20" s="79"/>
      <c r="P20" s="77"/>
      <c r="Q20" s="77"/>
      <c r="R20" s="76"/>
      <c r="S20" s="76"/>
      <c r="T20" s="76"/>
      <c r="V20" s="76"/>
      <c r="W20" s="76"/>
      <c r="X20" s="76"/>
      <c r="Z20" s="76"/>
      <c r="AA20" s="77"/>
      <c r="AB20" s="77"/>
      <c r="AC20" s="76"/>
      <c r="AF20" s="79"/>
      <c r="AG20" s="79"/>
      <c r="AH20" s="79"/>
      <c r="AI20" s="79"/>
      <c r="AJ20" s="79"/>
      <c r="AK20" s="79"/>
      <c r="AL20" s="79"/>
      <c r="AM20" s="76"/>
      <c r="AN20" s="76"/>
      <c r="AO20" s="76"/>
      <c r="AP20" s="76"/>
      <c r="AQ20" s="76"/>
      <c r="AR20" s="80"/>
      <c r="AS20" s="76"/>
      <c r="AT20" s="80"/>
      <c r="AU20" s="76"/>
    </row>
    <row r="21" spans="1:47" x14ac:dyDescent="0.35">
      <c r="B21" s="37"/>
      <c r="D21" s="76"/>
      <c r="G21" s="77"/>
      <c r="H21" s="78"/>
      <c r="I21" s="76"/>
      <c r="L21" s="79"/>
      <c r="M21" s="79"/>
      <c r="N21" s="79"/>
      <c r="O21" s="79"/>
      <c r="P21" s="77"/>
      <c r="Q21" s="77"/>
      <c r="R21" s="76"/>
      <c r="S21" s="76"/>
      <c r="T21" s="76"/>
      <c r="V21" s="76"/>
      <c r="W21" s="76"/>
      <c r="X21" s="76"/>
      <c r="Z21" s="76"/>
      <c r="AA21" s="77"/>
      <c r="AB21" s="77"/>
      <c r="AC21" s="76"/>
      <c r="AF21" s="79"/>
      <c r="AG21" s="79"/>
      <c r="AH21" s="79"/>
      <c r="AI21" s="79"/>
      <c r="AJ21" s="79"/>
      <c r="AK21" s="79"/>
      <c r="AL21" s="79"/>
      <c r="AM21" s="76"/>
      <c r="AN21" s="76"/>
      <c r="AO21" s="76"/>
      <c r="AP21" s="76"/>
      <c r="AQ21" s="76"/>
      <c r="AR21" s="80"/>
      <c r="AS21" s="76"/>
      <c r="AT21" s="80"/>
      <c r="AU21" s="76"/>
    </row>
    <row r="22" spans="1:47" x14ac:dyDescent="0.35">
      <c r="A22" s="48" t="s">
        <v>54</v>
      </c>
      <c r="B22" s="43">
        <v>3.5000000000000003E-2</v>
      </c>
      <c r="D22" s="76"/>
      <c r="G22" s="77"/>
      <c r="H22" s="78"/>
      <c r="I22" s="76"/>
      <c r="L22" s="79"/>
      <c r="M22" s="79"/>
      <c r="N22" s="79"/>
      <c r="O22" s="79"/>
      <c r="P22" s="77"/>
      <c r="Q22" s="77"/>
      <c r="R22" s="76"/>
      <c r="S22" s="76"/>
      <c r="T22" s="76"/>
      <c r="V22" s="76"/>
      <c r="W22" s="76"/>
      <c r="X22" s="76"/>
      <c r="Z22" s="76"/>
      <c r="AA22" s="77"/>
      <c r="AB22" s="77"/>
      <c r="AC22" s="76"/>
      <c r="AF22" s="79"/>
      <c r="AG22" s="79"/>
      <c r="AH22" s="79"/>
      <c r="AI22" s="79"/>
      <c r="AJ22" s="79"/>
      <c r="AK22" s="79"/>
      <c r="AL22" s="79"/>
      <c r="AM22" s="76"/>
      <c r="AN22" s="76"/>
      <c r="AO22" s="76"/>
      <c r="AP22" s="76"/>
      <c r="AQ22" s="76"/>
      <c r="AR22" s="80"/>
      <c r="AS22" s="76"/>
      <c r="AT22" s="80"/>
      <c r="AU22" s="76"/>
    </row>
    <row r="23" spans="1:47" x14ac:dyDescent="0.35">
      <c r="A23" s="48" t="s">
        <v>56</v>
      </c>
      <c r="B23" s="43">
        <v>0.01</v>
      </c>
      <c r="D23" s="76"/>
      <c r="G23" s="77"/>
      <c r="H23" s="78"/>
      <c r="I23" s="76"/>
      <c r="L23" s="79"/>
      <c r="M23" s="79"/>
      <c r="N23" s="79"/>
      <c r="O23" s="79"/>
      <c r="P23" s="77"/>
      <c r="Q23" s="77"/>
      <c r="R23" s="76"/>
      <c r="S23" s="76"/>
      <c r="T23" s="76"/>
      <c r="V23" s="76"/>
      <c r="W23" s="76"/>
      <c r="X23" s="76"/>
      <c r="Z23" s="76"/>
      <c r="AA23" s="77"/>
      <c r="AB23" s="77"/>
      <c r="AC23" s="76"/>
      <c r="AF23" s="79"/>
      <c r="AG23" s="79"/>
      <c r="AH23" s="79"/>
      <c r="AI23" s="79"/>
      <c r="AJ23" s="79"/>
      <c r="AK23" s="79"/>
      <c r="AL23" s="79"/>
      <c r="AM23" s="76"/>
      <c r="AN23" s="76"/>
      <c r="AO23" s="76"/>
      <c r="AP23" s="76"/>
      <c r="AQ23" s="76"/>
      <c r="AR23" s="80"/>
      <c r="AS23" s="76"/>
      <c r="AT23" s="80"/>
      <c r="AU23" s="76"/>
    </row>
    <row r="24" spans="1:47" x14ac:dyDescent="0.35">
      <c r="D24" s="76"/>
      <c r="G24" s="77"/>
      <c r="H24" s="78"/>
      <c r="I24" s="76"/>
      <c r="L24" s="79"/>
      <c r="M24" s="79"/>
      <c r="N24" s="79"/>
      <c r="O24" s="79"/>
      <c r="P24" s="77"/>
      <c r="Q24" s="77"/>
      <c r="R24" s="76"/>
      <c r="S24" s="76"/>
      <c r="T24" s="76"/>
      <c r="V24" s="76"/>
      <c r="W24" s="76"/>
      <c r="X24" s="76"/>
      <c r="Z24" s="76"/>
      <c r="AA24" s="77"/>
      <c r="AB24" s="77"/>
      <c r="AC24" s="76"/>
      <c r="AF24" s="79"/>
      <c r="AG24" s="79"/>
      <c r="AH24" s="79"/>
      <c r="AI24" s="79"/>
      <c r="AJ24" s="79"/>
      <c r="AK24" s="79"/>
      <c r="AL24" s="79"/>
      <c r="AM24" s="76"/>
      <c r="AN24" s="76"/>
      <c r="AO24" s="76"/>
      <c r="AP24" s="76"/>
      <c r="AQ24" s="76"/>
      <c r="AR24" s="80"/>
      <c r="AS24" s="76"/>
      <c r="AT24" s="80"/>
      <c r="AU24" s="76"/>
    </row>
    <row r="25" spans="1:47" x14ac:dyDescent="0.35">
      <c r="D25" s="76"/>
      <c r="G25" s="77"/>
      <c r="H25" s="78"/>
      <c r="I25" s="76"/>
      <c r="L25" s="79"/>
      <c r="M25" s="79"/>
      <c r="N25" s="79"/>
      <c r="O25" s="79"/>
      <c r="P25" s="77"/>
      <c r="Q25" s="77"/>
      <c r="R25" s="76"/>
      <c r="S25" s="76"/>
      <c r="T25" s="76"/>
      <c r="V25" s="76"/>
      <c r="W25" s="76"/>
      <c r="X25" s="76"/>
      <c r="Z25" s="76"/>
      <c r="AA25" s="77"/>
      <c r="AB25" s="77"/>
      <c r="AC25" s="76"/>
      <c r="AF25" s="79"/>
      <c r="AG25" s="79"/>
      <c r="AH25" s="79"/>
      <c r="AI25" s="79"/>
      <c r="AJ25" s="79"/>
      <c r="AK25" s="79"/>
      <c r="AL25" s="79"/>
      <c r="AM25" s="76"/>
      <c r="AN25" s="76"/>
      <c r="AO25" s="76"/>
      <c r="AP25" s="76"/>
      <c r="AQ25" s="76"/>
      <c r="AR25" s="80"/>
      <c r="AS25" s="76"/>
      <c r="AT25" s="80"/>
      <c r="AU25" s="76"/>
    </row>
    <row r="26" spans="1:47" x14ac:dyDescent="0.35">
      <c r="D26" s="76"/>
      <c r="G26" s="77"/>
      <c r="H26" s="78"/>
      <c r="I26" s="76"/>
      <c r="L26" s="79"/>
      <c r="M26" s="79"/>
      <c r="N26" s="79"/>
      <c r="O26" s="79"/>
      <c r="P26" s="77"/>
      <c r="Q26" s="77"/>
      <c r="R26" s="76"/>
      <c r="S26" s="76"/>
      <c r="T26" s="76"/>
      <c r="V26" s="76"/>
      <c r="W26" s="76"/>
      <c r="X26" s="76"/>
      <c r="Z26" s="76"/>
      <c r="AA26" s="77"/>
      <c r="AB26" s="77"/>
      <c r="AC26" s="76"/>
      <c r="AF26" s="79"/>
      <c r="AG26" s="79"/>
      <c r="AH26" s="79"/>
      <c r="AI26" s="79"/>
      <c r="AJ26" s="79"/>
      <c r="AK26" s="79"/>
      <c r="AL26" s="79"/>
      <c r="AM26" s="76"/>
      <c r="AN26" s="76"/>
      <c r="AO26" s="76"/>
      <c r="AP26" s="76"/>
      <c r="AQ26" s="76"/>
      <c r="AR26" s="80"/>
      <c r="AS26" s="76"/>
      <c r="AT26" s="80"/>
      <c r="AU26" s="76"/>
    </row>
    <row r="27" spans="1:47" x14ac:dyDescent="0.35">
      <c r="D27" s="76"/>
      <c r="G27" s="77"/>
      <c r="H27" s="78"/>
      <c r="I27" s="76"/>
      <c r="L27" s="79"/>
      <c r="M27" s="79"/>
      <c r="N27" s="79"/>
      <c r="O27" s="79"/>
      <c r="P27" s="77"/>
      <c r="Q27" s="77"/>
      <c r="R27" s="76"/>
      <c r="S27" s="76"/>
      <c r="T27" s="76"/>
      <c r="V27" s="76"/>
      <c r="W27" s="76"/>
      <c r="X27" s="76"/>
      <c r="Z27" s="76"/>
      <c r="AA27" s="77"/>
      <c r="AB27" s="77"/>
      <c r="AC27" s="76"/>
      <c r="AF27" s="79"/>
      <c r="AG27" s="79"/>
      <c r="AH27" s="79"/>
      <c r="AI27" s="79"/>
      <c r="AJ27" s="79"/>
      <c r="AK27" s="79"/>
      <c r="AL27" s="79"/>
      <c r="AM27" s="76"/>
      <c r="AN27" s="76"/>
      <c r="AO27" s="76"/>
      <c r="AP27" s="76"/>
      <c r="AQ27" s="76"/>
      <c r="AR27" s="80"/>
      <c r="AS27" s="76"/>
      <c r="AT27" s="80"/>
      <c r="AU27" s="76"/>
    </row>
    <row r="28" spans="1:47" x14ac:dyDescent="0.35">
      <c r="G28" s="77"/>
      <c r="H28" s="77"/>
      <c r="L28" s="79"/>
      <c r="M28" s="79"/>
      <c r="N28" s="79"/>
      <c r="O28" s="79"/>
      <c r="P28" s="79"/>
      <c r="Q28" s="79"/>
      <c r="R28" s="79"/>
      <c r="S28" s="79"/>
      <c r="T28" s="76"/>
      <c r="U28" s="76"/>
      <c r="Z28" s="76"/>
      <c r="AA28" s="77"/>
      <c r="AB28" s="77"/>
      <c r="AF28" s="79"/>
      <c r="AG28" s="79"/>
      <c r="AH28" s="79"/>
      <c r="AI28" s="79"/>
      <c r="AJ28" s="79"/>
      <c r="AK28" s="79"/>
      <c r="AL28" s="79"/>
      <c r="AM28" s="76"/>
      <c r="AN28" s="76"/>
      <c r="AO28" s="76"/>
      <c r="AP28" s="76"/>
      <c r="AQ28" s="76"/>
      <c r="AR28" s="80"/>
      <c r="AS28" s="76"/>
      <c r="AT28" s="80"/>
      <c r="AU28" s="76"/>
    </row>
    <row r="29" spans="1:47" x14ac:dyDescent="0.35">
      <c r="G29" s="77"/>
      <c r="H29" s="77"/>
      <c r="L29" s="79"/>
      <c r="M29" s="79"/>
      <c r="N29" s="79"/>
      <c r="O29" s="79"/>
      <c r="P29" s="79"/>
      <c r="Q29" s="79"/>
      <c r="R29" s="79"/>
      <c r="S29" s="79"/>
      <c r="T29" s="76"/>
      <c r="U29" s="76"/>
      <c r="Z29" s="76"/>
      <c r="AA29" s="77"/>
      <c r="AB29" s="77"/>
      <c r="AF29" s="79"/>
      <c r="AG29" s="79"/>
      <c r="AH29" s="79"/>
      <c r="AI29" s="79"/>
      <c r="AJ29" s="79"/>
      <c r="AK29" s="79"/>
      <c r="AL29" s="79"/>
      <c r="AM29" s="76"/>
      <c r="AN29" s="76"/>
      <c r="AO29" s="76"/>
      <c r="AP29" s="76"/>
      <c r="AQ29" s="76"/>
      <c r="AR29" s="80"/>
      <c r="AS29" s="76"/>
      <c r="AT29" s="80"/>
      <c r="AU29" s="76"/>
    </row>
    <row r="30" spans="1:47" x14ac:dyDescent="0.35">
      <c r="G30" s="77"/>
      <c r="H30" s="77"/>
      <c r="L30" s="79"/>
      <c r="M30" s="79"/>
      <c r="N30" s="79"/>
      <c r="O30" s="79"/>
      <c r="P30" s="79"/>
      <c r="Q30" s="79"/>
      <c r="R30" s="79"/>
      <c r="S30" s="79"/>
      <c r="T30" s="76"/>
      <c r="U30" s="76"/>
      <c r="Z30" s="76"/>
      <c r="AA30" s="77"/>
      <c r="AB30" s="77"/>
      <c r="AF30" s="79"/>
      <c r="AG30" s="79"/>
      <c r="AH30" s="79"/>
      <c r="AI30" s="79"/>
      <c r="AJ30" s="79"/>
      <c r="AK30" s="79"/>
      <c r="AL30" s="79"/>
      <c r="AM30" s="76"/>
      <c r="AN30" s="76"/>
      <c r="AO30" s="76"/>
      <c r="AP30" s="76"/>
      <c r="AQ30" s="76"/>
      <c r="AR30" s="80"/>
      <c r="AS30" s="76"/>
      <c r="AT30" s="80"/>
      <c r="AU30" s="76"/>
    </row>
    <row r="31" spans="1:47" x14ac:dyDescent="0.35">
      <c r="G31" s="77"/>
      <c r="H31" s="77"/>
      <c r="L31" s="79"/>
      <c r="M31" s="79"/>
      <c r="N31" s="79"/>
      <c r="O31" s="79"/>
      <c r="P31" s="79"/>
      <c r="Q31" s="79"/>
      <c r="R31" s="79"/>
      <c r="S31" s="79"/>
      <c r="T31" s="76"/>
      <c r="U31" s="76"/>
      <c r="Z31" s="76"/>
      <c r="AA31" s="77"/>
      <c r="AB31" s="77"/>
      <c r="AF31" s="79"/>
      <c r="AG31" s="79"/>
      <c r="AH31" s="79"/>
      <c r="AI31" s="79"/>
      <c r="AJ31" s="79"/>
      <c r="AK31" s="79"/>
      <c r="AL31" s="79"/>
      <c r="AM31" s="76"/>
      <c r="AN31" s="76"/>
      <c r="AO31" s="76"/>
      <c r="AP31" s="76"/>
      <c r="AQ31" s="76"/>
      <c r="AR31" s="80"/>
      <c r="AS31" s="76"/>
      <c r="AT31" s="80"/>
      <c r="AU31" s="76"/>
    </row>
    <row r="32" spans="1:47" x14ac:dyDescent="0.35">
      <c r="G32" s="77"/>
      <c r="H32" s="77"/>
      <c r="L32" s="79"/>
      <c r="M32" s="79"/>
      <c r="N32" s="79"/>
      <c r="O32" s="79"/>
      <c r="P32" s="79"/>
      <c r="Q32" s="79"/>
      <c r="R32" s="79"/>
      <c r="S32" s="79"/>
      <c r="T32" s="76"/>
      <c r="U32" s="76"/>
      <c r="Z32" s="76"/>
      <c r="AA32" s="77"/>
      <c r="AB32" s="77"/>
      <c r="AF32" s="79"/>
      <c r="AG32" s="79"/>
      <c r="AH32" s="79"/>
      <c r="AI32" s="79"/>
      <c r="AJ32" s="79"/>
      <c r="AK32" s="79"/>
      <c r="AL32" s="79"/>
      <c r="AM32" s="76"/>
      <c r="AN32" s="76"/>
      <c r="AO32" s="76"/>
      <c r="AP32" s="76"/>
      <c r="AQ32" s="76"/>
      <c r="AR32" s="80"/>
      <c r="AS32" s="76"/>
      <c r="AT32" s="80"/>
      <c r="AU32" s="76"/>
    </row>
    <row r="33" spans="7:47" x14ac:dyDescent="0.35">
      <c r="G33" s="77"/>
      <c r="H33" s="77"/>
      <c r="L33" s="79"/>
      <c r="M33" s="79"/>
      <c r="N33" s="79"/>
      <c r="O33" s="79"/>
      <c r="P33" s="79"/>
      <c r="Q33" s="79"/>
      <c r="R33" s="79"/>
      <c r="S33" s="79"/>
      <c r="T33" s="76"/>
      <c r="U33" s="76"/>
      <c r="Z33" s="76"/>
      <c r="AA33" s="77"/>
      <c r="AB33" s="77"/>
      <c r="AF33" s="79"/>
      <c r="AG33" s="79"/>
      <c r="AH33" s="79"/>
      <c r="AI33" s="79"/>
      <c r="AJ33" s="79"/>
      <c r="AK33" s="79"/>
      <c r="AL33" s="79"/>
      <c r="AM33" s="76"/>
      <c r="AN33" s="76"/>
      <c r="AO33" s="76"/>
      <c r="AP33" s="76"/>
      <c r="AQ33" s="76"/>
      <c r="AR33" s="80"/>
      <c r="AS33" s="76"/>
      <c r="AT33" s="80"/>
      <c r="AU33" s="76"/>
    </row>
    <row r="34" spans="7:47" x14ac:dyDescent="0.35">
      <c r="G34" s="77"/>
      <c r="H34" s="77"/>
      <c r="L34" s="79"/>
      <c r="M34" s="79"/>
      <c r="N34" s="79"/>
      <c r="O34" s="79"/>
      <c r="P34" s="79"/>
      <c r="Q34" s="79"/>
      <c r="R34" s="79"/>
      <c r="S34" s="79"/>
      <c r="T34" s="76"/>
      <c r="U34" s="76"/>
      <c r="Z34" s="76"/>
      <c r="AA34" s="77"/>
      <c r="AB34" s="77"/>
      <c r="AF34" s="79"/>
      <c r="AG34" s="79"/>
      <c r="AH34" s="79"/>
      <c r="AI34" s="79"/>
      <c r="AJ34" s="79"/>
      <c r="AK34" s="79"/>
      <c r="AL34" s="79"/>
      <c r="AM34" s="76"/>
      <c r="AN34" s="76"/>
      <c r="AO34" s="76"/>
      <c r="AP34" s="76"/>
      <c r="AQ34" s="76"/>
      <c r="AR34" s="80"/>
      <c r="AS34" s="76"/>
      <c r="AT34" s="80"/>
      <c r="AU34" s="76"/>
    </row>
    <row r="35" spans="7:47" x14ac:dyDescent="0.35">
      <c r="G35" s="77"/>
      <c r="H35" s="77"/>
      <c r="L35" s="79"/>
      <c r="M35" s="79"/>
      <c r="N35" s="79"/>
      <c r="O35" s="79"/>
      <c r="P35" s="79"/>
      <c r="Q35" s="79"/>
      <c r="R35" s="79"/>
      <c r="S35" s="79"/>
      <c r="T35" s="76"/>
      <c r="U35" s="76"/>
      <c r="Z35" s="76"/>
      <c r="AA35" s="77"/>
      <c r="AB35" s="77"/>
      <c r="AF35" s="79"/>
      <c r="AG35" s="79"/>
      <c r="AH35" s="79"/>
      <c r="AI35" s="79"/>
      <c r="AJ35" s="79"/>
      <c r="AK35" s="79"/>
      <c r="AL35" s="79"/>
      <c r="AM35" s="76"/>
      <c r="AN35" s="76"/>
      <c r="AO35" s="76"/>
      <c r="AP35" s="76"/>
      <c r="AQ35" s="76"/>
      <c r="AR35" s="80"/>
      <c r="AS35" s="76"/>
      <c r="AT35" s="80"/>
      <c r="AU35" s="76"/>
    </row>
    <row r="36" spans="7:47" x14ac:dyDescent="0.35">
      <c r="G36" s="77"/>
      <c r="H36" s="77"/>
      <c r="L36" s="79"/>
      <c r="M36" s="79"/>
      <c r="N36" s="79"/>
      <c r="O36" s="79"/>
      <c r="P36" s="79"/>
      <c r="Q36" s="79"/>
      <c r="R36" s="79"/>
      <c r="S36" s="79"/>
      <c r="T36" s="76"/>
      <c r="U36" s="76"/>
      <c r="Z36" s="76"/>
      <c r="AA36" s="77"/>
      <c r="AB36" s="77"/>
      <c r="AF36" s="79"/>
      <c r="AG36" s="79"/>
      <c r="AH36" s="79"/>
      <c r="AI36" s="79"/>
      <c r="AJ36" s="79"/>
      <c r="AK36" s="79"/>
      <c r="AL36" s="79"/>
      <c r="AM36" s="76"/>
      <c r="AN36" s="76"/>
      <c r="AO36" s="76"/>
      <c r="AP36" s="76"/>
      <c r="AQ36" s="76"/>
      <c r="AR36" s="80"/>
      <c r="AS36" s="76"/>
      <c r="AT36" s="80"/>
      <c r="AU36" s="76"/>
    </row>
    <row r="37" spans="7:47" x14ac:dyDescent="0.35">
      <c r="G37" s="77"/>
      <c r="H37" s="77"/>
      <c r="L37" s="79"/>
      <c r="M37" s="79"/>
      <c r="N37" s="79"/>
      <c r="O37" s="79"/>
      <c r="P37" s="79"/>
      <c r="Q37" s="79"/>
      <c r="R37" s="79"/>
      <c r="S37" s="79"/>
      <c r="T37" s="76"/>
      <c r="U37" s="76"/>
      <c r="Z37" s="76"/>
      <c r="AA37" s="77"/>
      <c r="AB37" s="77"/>
      <c r="AF37" s="79"/>
      <c r="AG37" s="79"/>
      <c r="AH37" s="79"/>
      <c r="AI37" s="79"/>
      <c r="AJ37" s="79"/>
      <c r="AK37" s="79"/>
      <c r="AL37" s="79"/>
      <c r="AM37" s="76"/>
      <c r="AN37" s="76"/>
      <c r="AO37" s="76"/>
      <c r="AP37" s="76"/>
      <c r="AQ37" s="76"/>
      <c r="AR37" s="80"/>
      <c r="AS37" s="76"/>
      <c r="AT37" s="80"/>
      <c r="AU37" s="76"/>
    </row>
    <row r="38" spans="7:47" x14ac:dyDescent="0.35">
      <c r="G38" s="77"/>
      <c r="H38" s="77"/>
      <c r="L38" s="79"/>
      <c r="M38" s="79"/>
      <c r="N38" s="79"/>
      <c r="O38" s="79"/>
      <c r="P38" s="79"/>
      <c r="Q38" s="79"/>
      <c r="R38" s="79"/>
      <c r="S38" s="79"/>
      <c r="T38" s="76"/>
      <c r="U38" s="76"/>
      <c r="Z38" s="76"/>
      <c r="AA38" s="77"/>
      <c r="AB38" s="77"/>
      <c r="AF38" s="79"/>
      <c r="AG38" s="79"/>
      <c r="AH38" s="79"/>
      <c r="AI38" s="79"/>
      <c r="AJ38" s="79"/>
      <c r="AK38" s="79"/>
      <c r="AL38" s="79"/>
      <c r="AM38" s="76"/>
      <c r="AN38" s="76"/>
      <c r="AO38" s="76"/>
      <c r="AP38" s="76"/>
      <c r="AQ38" s="76"/>
      <c r="AR38" s="80"/>
      <c r="AS38" s="76"/>
      <c r="AT38" s="80"/>
      <c r="AU38" s="76"/>
    </row>
    <row r="39" spans="7:47" x14ac:dyDescent="0.35">
      <c r="G39" s="77"/>
      <c r="H39" s="77"/>
      <c r="L39" s="79"/>
      <c r="M39" s="79"/>
      <c r="N39" s="79"/>
      <c r="O39" s="79"/>
      <c r="P39" s="79"/>
      <c r="Q39" s="79"/>
      <c r="R39" s="79"/>
      <c r="S39" s="79"/>
      <c r="T39" s="76"/>
      <c r="U39" s="76"/>
      <c r="Z39" s="76"/>
      <c r="AA39" s="77"/>
      <c r="AB39" s="77"/>
      <c r="AF39" s="79"/>
      <c r="AG39" s="79"/>
      <c r="AH39" s="79"/>
      <c r="AI39" s="79"/>
      <c r="AJ39" s="79"/>
      <c r="AK39" s="79"/>
      <c r="AL39" s="79"/>
      <c r="AM39" s="76"/>
      <c r="AN39" s="76"/>
      <c r="AO39" s="76"/>
      <c r="AP39" s="76"/>
      <c r="AQ39" s="76"/>
      <c r="AR39" s="80"/>
      <c r="AS39" s="76"/>
      <c r="AT39" s="80"/>
      <c r="AU39" s="76"/>
    </row>
    <row r="40" spans="7:47" x14ac:dyDescent="0.35">
      <c r="G40" s="77"/>
      <c r="H40" s="77"/>
      <c r="L40" s="79"/>
      <c r="M40" s="79"/>
      <c r="N40" s="79"/>
      <c r="O40" s="79"/>
      <c r="P40" s="79"/>
      <c r="Q40" s="79"/>
      <c r="R40" s="79"/>
      <c r="S40" s="79"/>
      <c r="T40" s="76"/>
      <c r="U40" s="76"/>
      <c r="Z40" s="76"/>
      <c r="AA40" s="77"/>
      <c r="AB40" s="77"/>
      <c r="AF40" s="79"/>
      <c r="AG40" s="79"/>
      <c r="AH40" s="79"/>
      <c r="AI40" s="79"/>
      <c r="AJ40" s="79"/>
      <c r="AK40" s="79"/>
      <c r="AL40" s="79"/>
      <c r="AM40" s="76"/>
      <c r="AN40" s="76"/>
      <c r="AO40" s="76"/>
      <c r="AP40" s="76"/>
      <c r="AQ40" s="76"/>
      <c r="AR40" s="80"/>
      <c r="AS40" s="76"/>
      <c r="AT40" s="80"/>
      <c r="AU40" s="76"/>
    </row>
    <row r="41" spans="7:47" x14ac:dyDescent="0.35">
      <c r="G41" s="77"/>
      <c r="H41" s="77"/>
      <c r="L41" s="79"/>
      <c r="M41" s="79"/>
      <c r="N41" s="79"/>
      <c r="O41" s="79"/>
      <c r="P41" s="79"/>
      <c r="Q41" s="79"/>
      <c r="R41" s="79"/>
      <c r="S41" s="79"/>
      <c r="T41" s="76"/>
      <c r="U41" s="76"/>
      <c r="Z41" s="76"/>
      <c r="AA41" s="77"/>
      <c r="AB41" s="77"/>
      <c r="AF41" s="79"/>
      <c r="AG41" s="79"/>
      <c r="AH41" s="79"/>
      <c r="AI41" s="79"/>
      <c r="AJ41" s="79"/>
      <c r="AK41" s="79"/>
      <c r="AL41" s="79"/>
      <c r="AM41" s="76"/>
      <c r="AN41" s="76"/>
      <c r="AO41" s="76"/>
      <c r="AP41" s="76"/>
      <c r="AQ41" s="76"/>
      <c r="AR41" s="80"/>
      <c r="AS41" s="76"/>
      <c r="AT41" s="80"/>
      <c r="AU41" s="76"/>
    </row>
    <row r="42" spans="7:47" x14ac:dyDescent="0.35">
      <c r="G42" s="77"/>
      <c r="H42" s="77"/>
      <c r="L42" s="79"/>
      <c r="M42" s="79"/>
      <c r="N42" s="79"/>
      <c r="O42" s="79"/>
      <c r="P42" s="79"/>
      <c r="Q42" s="79"/>
      <c r="R42" s="79"/>
      <c r="S42" s="79"/>
      <c r="T42" s="76"/>
      <c r="U42" s="76"/>
      <c r="Z42" s="76"/>
      <c r="AA42" s="77"/>
      <c r="AB42" s="77"/>
      <c r="AF42" s="79"/>
      <c r="AG42" s="79"/>
      <c r="AH42" s="79"/>
      <c r="AI42" s="79"/>
      <c r="AJ42" s="79"/>
      <c r="AK42" s="79"/>
      <c r="AL42" s="79"/>
      <c r="AM42" s="76"/>
      <c r="AN42" s="76"/>
      <c r="AO42" s="76"/>
      <c r="AP42" s="76"/>
      <c r="AQ42" s="76"/>
      <c r="AR42" s="80"/>
      <c r="AS42" s="76"/>
      <c r="AT42" s="80"/>
      <c r="AU42" s="76"/>
    </row>
    <row r="43" spans="7:47" x14ac:dyDescent="0.35">
      <c r="G43" s="77"/>
      <c r="H43" s="77"/>
      <c r="L43" s="79"/>
      <c r="M43" s="79"/>
      <c r="N43" s="79"/>
      <c r="O43" s="79"/>
      <c r="P43" s="79"/>
      <c r="Q43" s="79"/>
      <c r="R43" s="79"/>
      <c r="S43" s="79"/>
      <c r="T43" s="76"/>
      <c r="U43" s="76"/>
      <c r="Z43" s="76"/>
      <c r="AA43" s="77"/>
      <c r="AB43" s="77"/>
      <c r="AF43" s="79"/>
      <c r="AG43" s="79"/>
      <c r="AH43" s="79"/>
      <c r="AI43" s="79"/>
      <c r="AJ43" s="79"/>
      <c r="AK43" s="79"/>
      <c r="AL43" s="79"/>
      <c r="AM43" s="76"/>
      <c r="AN43" s="76"/>
      <c r="AO43" s="76"/>
      <c r="AP43" s="76"/>
      <c r="AQ43" s="76"/>
      <c r="AR43" s="80"/>
      <c r="AS43" s="76"/>
      <c r="AT43" s="80"/>
      <c r="AU43" s="76"/>
    </row>
    <row r="44" spans="7:47" x14ac:dyDescent="0.35">
      <c r="G44" s="77"/>
      <c r="H44" s="77"/>
      <c r="L44" s="79"/>
      <c r="M44" s="79"/>
      <c r="N44" s="79"/>
      <c r="O44" s="79"/>
      <c r="P44" s="79"/>
      <c r="Q44" s="79"/>
      <c r="R44" s="79"/>
      <c r="S44" s="79"/>
      <c r="T44" s="76"/>
      <c r="U44" s="76"/>
      <c r="Z44" s="76"/>
      <c r="AA44" s="77"/>
      <c r="AB44" s="77"/>
      <c r="AF44" s="79"/>
      <c r="AG44" s="79"/>
      <c r="AH44" s="79"/>
      <c r="AI44" s="79"/>
      <c r="AJ44" s="79"/>
      <c r="AK44" s="79"/>
      <c r="AL44" s="79"/>
      <c r="AM44" s="76"/>
      <c r="AN44" s="76"/>
      <c r="AO44" s="76"/>
      <c r="AP44" s="76"/>
      <c r="AQ44" s="76"/>
      <c r="AR44" s="80"/>
      <c r="AS44" s="76"/>
      <c r="AT44" s="80"/>
      <c r="AU44" s="76"/>
    </row>
    <row r="45" spans="7:47" x14ac:dyDescent="0.35">
      <c r="G45" s="77"/>
      <c r="H45" s="77"/>
      <c r="L45" s="79"/>
      <c r="M45" s="79"/>
      <c r="N45" s="79"/>
      <c r="O45" s="79"/>
      <c r="P45" s="79"/>
      <c r="Q45" s="79"/>
      <c r="R45" s="79"/>
      <c r="S45" s="79"/>
      <c r="T45" s="76"/>
      <c r="U45" s="76"/>
      <c r="Z45" s="76"/>
      <c r="AA45" s="77"/>
      <c r="AB45" s="77"/>
      <c r="AF45" s="79"/>
      <c r="AG45" s="79"/>
      <c r="AH45" s="79"/>
      <c r="AI45" s="79"/>
      <c r="AJ45" s="79"/>
      <c r="AK45" s="79"/>
      <c r="AL45" s="79"/>
      <c r="AM45" s="76"/>
      <c r="AN45" s="76"/>
      <c r="AO45" s="76"/>
      <c r="AP45" s="76"/>
      <c r="AQ45" s="76"/>
      <c r="AR45" s="80"/>
      <c r="AS45" s="76"/>
      <c r="AT45" s="80"/>
      <c r="AU45" s="76"/>
    </row>
    <row r="46" spans="7:47" x14ac:dyDescent="0.35">
      <c r="G46" s="77"/>
      <c r="H46" s="77"/>
      <c r="L46" s="79"/>
      <c r="M46" s="79"/>
      <c r="N46" s="79"/>
      <c r="O46" s="79"/>
      <c r="P46" s="79"/>
      <c r="Q46" s="79"/>
      <c r="R46" s="79"/>
      <c r="S46" s="79"/>
      <c r="T46" s="76"/>
      <c r="U46" s="76"/>
      <c r="Z46" s="76"/>
      <c r="AA46" s="77"/>
      <c r="AB46" s="77"/>
      <c r="AF46" s="79"/>
      <c r="AG46" s="79"/>
      <c r="AH46" s="79"/>
      <c r="AI46" s="79"/>
      <c r="AJ46" s="79"/>
      <c r="AK46" s="79"/>
      <c r="AL46" s="79"/>
      <c r="AM46" s="76"/>
      <c r="AN46" s="76"/>
      <c r="AO46" s="76"/>
      <c r="AP46" s="76"/>
      <c r="AQ46" s="76"/>
      <c r="AR46" s="80"/>
      <c r="AS46" s="76"/>
      <c r="AT46" s="80"/>
      <c r="AU46" s="76"/>
    </row>
    <row r="47" spans="7:47" x14ac:dyDescent="0.35">
      <c r="G47" s="77"/>
      <c r="H47" s="77"/>
      <c r="L47" s="79"/>
      <c r="M47" s="79"/>
      <c r="N47" s="79"/>
      <c r="O47" s="79"/>
      <c r="P47" s="79"/>
      <c r="Q47" s="79"/>
      <c r="R47" s="79"/>
      <c r="S47" s="79"/>
      <c r="T47" s="76"/>
      <c r="U47" s="76"/>
      <c r="Z47" s="76"/>
      <c r="AA47" s="77"/>
      <c r="AB47" s="77"/>
      <c r="AF47" s="79"/>
      <c r="AG47" s="79"/>
      <c r="AH47" s="79"/>
      <c r="AI47" s="79"/>
      <c r="AJ47" s="79"/>
      <c r="AK47" s="79"/>
      <c r="AL47" s="79"/>
      <c r="AM47" s="76"/>
      <c r="AN47" s="76"/>
      <c r="AO47" s="76"/>
      <c r="AP47" s="76"/>
      <c r="AQ47" s="76"/>
      <c r="AR47" s="80"/>
      <c r="AS47" s="76"/>
      <c r="AT47" s="80"/>
      <c r="AU47" s="76"/>
    </row>
    <row r="48" spans="7:47" x14ac:dyDescent="0.35">
      <c r="G48" s="77"/>
      <c r="H48" s="77"/>
      <c r="L48" s="79"/>
      <c r="M48" s="79"/>
      <c r="N48" s="79"/>
      <c r="O48" s="79"/>
      <c r="P48" s="79"/>
      <c r="Q48" s="79"/>
      <c r="R48" s="79"/>
      <c r="S48" s="79"/>
      <c r="T48" s="76"/>
      <c r="U48" s="76"/>
      <c r="Z48" s="76"/>
      <c r="AA48" s="77"/>
      <c r="AB48" s="77"/>
      <c r="AF48" s="79"/>
      <c r="AG48" s="79"/>
      <c r="AH48" s="79"/>
      <c r="AI48" s="79"/>
      <c r="AJ48" s="79"/>
      <c r="AK48" s="79"/>
      <c r="AL48" s="79"/>
      <c r="AM48" s="76"/>
      <c r="AN48" s="76"/>
      <c r="AO48" s="76"/>
      <c r="AP48" s="76"/>
      <c r="AQ48" s="76"/>
      <c r="AR48" s="80"/>
      <c r="AS48" s="76"/>
      <c r="AT48" s="80"/>
      <c r="AU48" s="76"/>
    </row>
    <row r="49" spans="7:47" x14ac:dyDescent="0.35">
      <c r="G49" s="77"/>
      <c r="H49" s="77"/>
      <c r="L49" s="79"/>
      <c r="M49" s="79"/>
      <c r="N49" s="79"/>
      <c r="O49" s="79"/>
      <c r="P49" s="79"/>
      <c r="Q49" s="79"/>
      <c r="R49" s="79"/>
      <c r="S49" s="79"/>
      <c r="T49" s="76"/>
      <c r="U49" s="76"/>
      <c r="Z49" s="76"/>
      <c r="AA49" s="77"/>
      <c r="AB49" s="77"/>
      <c r="AF49" s="79"/>
      <c r="AG49" s="79"/>
      <c r="AH49" s="79"/>
      <c r="AI49" s="79"/>
      <c r="AJ49" s="79"/>
      <c r="AK49" s="79"/>
      <c r="AL49" s="79"/>
      <c r="AM49" s="76"/>
      <c r="AN49" s="76"/>
      <c r="AO49" s="76"/>
      <c r="AP49" s="76"/>
      <c r="AQ49" s="76"/>
      <c r="AR49" s="80"/>
      <c r="AS49" s="76"/>
      <c r="AT49" s="80"/>
      <c r="AU49" s="76"/>
    </row>
    <row r="50" spans="7:47" x14ac:dyDescent="0.35">
      <c r="G50" s="77"/>
      <c r="H50" s="77"/>
      <c r="L50" s="79"/>
      <c r="M50" s="79"/>
      <c r="N50" s="79"/>
      <c r="O50" s="79"/>
      <c r="P50" s="79"/>
      <c r="Q50" s="79"/>
      <c r="R50" s="79"/>
      <c r="S50" s="79"/>
      <c r="T50" s="76"/>
      <c r="U50" s="76"/>
      <c r="Z50" s="76"/>
      <c r="AA50" s="77"/>
      <c r="AB50" s="77"/>
      <c r="AF50" s="79"/>
      <c r="AG50" s="79"/>
      <c r="AH50" s="79"/>
      <c r="AI50" s="79"/>
      <c r="AJ50" s="79"/>
      <c r="AK50" s="79"/>
      <c r="AL50" s="79"/>
      <c r="AM50" s="76"/>
      <c r="AN50" s="76"/>
      <c r="AO50" s="76"/>
      <c r="AP50" s="76"/>
      <c r="AQ50" s="76"/>
      <c r="AR50" s="80"/>
      <c r="AS50" s="76"/>
      <c r="AT50" s="80"/>
      <c r="AU50" s="76"/>
    </row>
    <row r="51" spans="7:47" x14ac:dyDescent="0.35">
      <c r="G51" s="77"/>
      <c r="H51" s="77"/>
      <c r="L51" s="79"/>
      <c r="M51" s="79"/>
      <c r="N51" s="79"/>
      <c r="O51" s="79"/>
      <c r="P51" s="79"/>
      <c r="Q51" s="79"/>
      <c r="R51" s="79"/>
      <c r="S51" s="79"/>
      <c r="T51" s="76"/>
      <c r="U51" s="76"/>
      <c r="Z51" s="76"/>
      <c r="AA51" s="77"/>
      <c r="AB51" s="77"/>
      <c r="AF51" s="79"/>
      <c r="AG51" s="79"/>
      <c r="AH51" s="79"/>
      <c r="AI51" s="79"/>
      <c r="AJ51" s="79"/>
      <c r="AK51" s="79"/>
      <c r="AL51" s="79"/>
      <c r="AM51" s="76"/>
      <c r="AN51" s="76"/>
      <c r="AO51" s="76"/>
      <c r="AP51" s="76"/>
      <c r="AQ51" s="76"/>
      <c r="AR51" s="80"/>
      <c r="AS51" s="76"/>
      <c r="AT51" s="80"/>
      <c r="AU51" s="76"/>
    </row>
    <row r="52" spans="7:47" x14ac:dyDescent="0.35">
      <c r="G52" s="77"/>
      <c r="H52" s="77"/>
      <c r="L52" s="79"/>
      <c r="M52" s="79"/>
      <c r="N52" s="79"/>
      <c r="O52" s="79"/>
      <c r="P52" s="79"/>
      <c r="Q52" s="79"/>
      <c r="R52" s="79"/>
      <c r="S52" s="79"/>
      <c r="T52" s="76"/>
      <c r="U52" s="76"/>
      <c r="Z52" s="76"/>
      <c r="AA52" s="77"/>
      <c r="AB52" s="77"/>
      <c r="AF52" s="79"/>
      <c r="AG52" s="79"/>
      <c r="AH52" s="79"/>
      <c r="AI52" s="79"/>
      <c r="AJ52" s="79"/>
      <c r="AK52" s="79"/>
      <c r="AL52" s="79"/>
      <c r="AM52" s="76"/>
      <c r="AN52" s="76"/>
      <c r="AO52" s="76"/>
      <c r="AP52" s="76"/>
      <c r="AQ52" s="76"/>
      <c r="AR52" s="80"/>
      <c r="AS52" s="76"/>
      <c r="AT52" s="80"/>
      <c r="AU52" s="76"/>
    </row>
    <row r="53" spans="7:47" x14ac:dyDescent="0.35">
      <c r="G53" s="77"/>
      <c r="H53" s="77"/>
      <c r="L53" s="79"/>
      <c r="M53" s="79"/>
      <c r="N53" s="79"/>
      <c r="O53" s="79"/>
      <c r="P53" s="79"/>
      <c r="Q53" s="79"/>
      <c r="R53" s="79"/>
      <c r="S53" s="79"/>
      <c r="T53" s="76"/>
      <c r="U53" s="76"/>
      <c r="Z53" s="76"/>
      <c r="AA53" s="77"/>
      <c r="AB53" s="77"/>
      <c r="AF53" s="79"/>
      <c r="AG53" s="79"/>
      <c r="AH53" s="79"/>
      <c r="AI53" s="79"/>
      <c r="AJ53" s="79"/>
      <c r="AK53" s="79"/>
      <c r="AL53" s="79"/>
      <c r="AM53" s="76"/>
      <c r="AN53" s="76"/>
      <c r="AO53" s="76"/>
      <c r="AP53" s="76"/>
      <c r="AQ53" s="76"/>
      <c r="AR53" s="80"/>
      <c r="AS53" s="76"/>
      <c r="AT53" s="80"/>
      <c r="AU53" s="76"/>
    </row>
    <row r="54" spans="7:47" x14ac:dyDescent="0.35">
      <c r="G54" s="77"/>
      <c r="H54" s="77"/>
      <c r="L54" s="79"/>
      <c r="M54" s="79"/>
      <c r="N54" s="79"/>
      <c r="O54" s="79"/>
      <c r="P54" s="79"/>
      <c r="Q54" s="79"/>
      <c r="R54" s="79"/>
      <c r="S54" s="79"/>
      <c r="T54" s="76"/>
      <c r="U54" s="76"/>
      <c r="Z54" s="76"/>
      <c r="AA54" s="77"/>
      <c r="AB54" s="77"/>
      <c r="AF54" s="79"/>
      <c r="AG54" s="79"/>
      <c r="AH54" s="79"/>
      <c r="AI54" s="79"/>
      <c r="AJ54" s="79"/>
      <c r="AK54" s="79"/>
      <c r="AL54" s="79"/>
      <c r="AM54" s="76"/>
      <c r="AN54" s="76"/>
      <c r="AO54" s="76"/>
      <c r="AP54" s="76"/>
      <c r="AQ54" s="76"/>
      <c r="AR54" s="80"/>
      <c r="AS54" s="76"/>
      <c r="AT54" s="80"/>
      <c r="AU54" s="76"/>
    </row>
    <row r="55" spans="7:47" x14ac:dyDescent="0.35">
      <c r="G55" s="77"/>
      <c r="H55" s="77"/>
      <c r="L55" s="79"/>
      <c r="M55" s="79"/>
      <c r="N55" s="79"/>
      <c r="O55" s="79"/>
      <c r="P55" s="79"/>
      <c r="Q55" s="79"/>
      <c r="R55" s="79"/>
      <c r="S55" s="79"/>
      <c r="T55" s="76"/>
      <c r="U55" s="76"/>
      <c r="Z55" s="76"/>
      <c r="AA55" s="77"/>
      <c r="AB55" s="77"/>
      <c r="AF55" s="79"/>
      <c r="AG55" s="79"/>
      <c r="AH55" s="79"/>
      <c r="AI55" s="79"/>
      <c r="AJ55" s="79"/>
      <c r="AK55" s="79"/>
      <c r="AL55" s="79"/>
      <c r="AM55" s="76"/>
      <c r="AN55" s="76"/>
      <c r="AO55" s="76"/>
      <c r="AP55" s="76"/>
      <c r="AQ55" s="76"/>
      <c r="AR55" s="80"/>
      <c r="AS55" s="76"/>
      <c r="AT55" s="80"/>
      <c r="AU55" s="76"/>
    </row>
    <row r="56" spans="7:47" x14ac:dyDescent="0.35">
      <c r="G56" s="77"/>
      <c r="H56" s="77"/>
      <c r="L56" s="79"/>
      <c r="M56" s="79"/>
      <c r="N56" s="79"/>
      <c r="O56" s="79"/>
      <c r="P56" s="79"/>
      <c r="Q56" s="79"/>
      <c r="R56" s="79"/>
      <c r="S56" s="79"/>
      <c r="T56" s="76"/>
      <c r="U56" s="76"/>
      <c r="Z56" s="76"/>
      <c r="AA56" s="77"/>
      <c r="AB56" s="77"/>
      <c r="AF56" s="79"/>
      <c r="AG56" s="79"/>
      <c r="AH56" s="79"/>
      <c r="AI56" s="79"/>
      <c r="AJ56" s="79"/>
      <c r="AK56" s="79"/>
      <c r="AL56" s="79"/>
      <c r="AM56" s="76"/>
      <c r="AN56" s="76"/>
      <c r="AO56" s="76"/>
      <c r="AP56" s="76"/>
      <c r="AQ56" s="76"/>
      <c r="AR56" s="80"/>
      <c r="AS56" s="76"/>
      <c r="AT56" s="80"/>
      <c r="AU56" s="76"/>
    </row>
    <row r="57" spans="7:47" x14ac:dyDescent="0.35">
      <c r="G57" s="77"/>
      <c r="H57" s="77"/>
      <c r="L57" s="79"/>
      <c r="M57" s="79"/>
      <c r="N57" s="79"/>
      <c r="O57" s="79"/>
      <c r="P57" s="79"/>
      <c r="Q57" s="79"/>
      <c r="R57" s="79"/>
      <c r="S57" s="79"/>
      <c r="T57" s="76"/>
      <c r="U57" s="76"/>
      <c r="Z57" s="76"/>
      <c r="AA57" s="77"/>
      <c r="AB57" s="77"/>
      <c r="AF57" s="79"/>
      <c r="AG57" s="79"/>
      <c r="AH57" s="79"/>
      <c r="AI57" s="79"/>
      <c r="AJ57" s="79"/>
      <c r="AK57" s="79"/>
      <c r="AL57" s="79"/>
      <c r="AM57" s="76"/>
      <c r="AN57" s="76"/>
      <c r="AO57" s="76"/>
      <c r="AP57" s="76"/>
      <c r="AQ57" s="76"/>
      <c r="AR57" s="80"/>
      <c r="AS57" s="76"/>
      <c r="AT57" s="80"/>
      <c r="AU57" s="76"/>
    </row>
    <row r="58" spans="7:47" x14ac:dyDescent="0.35">
      <c r="G58" s="77"/>
      <c r="H58" s="77"/>
      <c r="L58" s="79"/>
      <c r="M58" s="79"/>
      <c r="N58" s="79"/>
      <c r="O58" s="79"/>
      <c r="P58" s="79"/>
      <c r="Q58" s="79"/>
      <c r="R58" s="79"/>
      <c r="S58" s="79"/>
      <c r="T58" s="76"/>
      <c r="U58" s="76"/>
      <c r="Z58" s="76"/>
      <c r="AA58" s="77"/>
      <c r="AB58" s="77"/>
      <c r="AF58" s="79"/>
      <c r="AG58" s="79"/>
      <c r="AH58" s="79"/>
      <c r="AI58" s="79"/>
      <c r="AJ58" s="79"/>
      <c r="AK58" s="79"/>
      <c r="AL58" s="79"/>
      <c r="AM58" s="76"/>
      <c r="AN58" s="76"/>
      <c r="AO58" s="76"/>
      <c r="AP58" s="76"/>
      <c r="AQ58" s="76"/>
      <c r="AR58" s="80"/>
      <c r="AS58" s="76"/>
      <c r="AT58" s="80"/>
      <c r="AU58" s="76"/>
    </row>
    <row r="59" spans="7:47" x14ac:dyDescent="0.35">
      <c r="G59" s="77"/>
      <c r="H59" s="77"/>
      <c r="L59" s="79"/>
      <c r="M59" s="79"/>
      <c r="N59" s="79"/>
      <c r="O59" s="79"/>
      <c r="P59" s="79"/>
      <c r="Q59" s="79"/>
      <c r="R59" s="79"/>
      <c r="S59" s="79"/>
      <c r="T59" s="76"/>
      <c r="U59" s="76"/>
      <c r="Z59" s="76"/>
      <c r="AA59" s="77"/>
      <c r="AB59" s="77"/>
      <c r="AF59" s="79"/>
      <c r="AG59" s="79"/>
      <c r="AH59" s="79"/>
      <c r="AI59" s="79"/>
      <c r="AJ59" s="79"/>
      <c r="AK59" s="79"/>
      <c r="AL59" s="79"/>
      <c r="AM59" s="76"/>
      <c r="AN59" s="76"/>
      <c r="AO59" s="76"/>
      <c r="AP59" s="76"/>
      <c r="AQ59" s="76"/>
      <c r="AR59" s="80"/>
      <c r="AS59" s="76"/>
      <c r="AT59" s="80"/>
      <c r="AU59" s="76"/>
    </row>
    <row r="60" spans="7:47" x14ac:dyDescent="0.35">
      <c r="G60" s="77"/>
      <c r="H60" s="77"/>
      <c r="L60" s="79"/>
      <c r="M60" s="79"/>
      <c r="N60" s="79"/>
      <c r="O60" s="79"/>
      <c r="P60" s="79"/>
      <c r="Q60" s="79"/>
      <c r="R60" s="79"/>
      <c r="S60" s="79"/>
      <c r="T60" s="76"/>
      <c r="U60" s="76"/>
      <c r="Z60" s="76"/>
      <c r="AA60" s="77"/>
      <c r="AB60" s="77"/>
      <c r="AF60" s="79"/>
      <c r="AG60" s="79"/>
      <c r="AH60" s="79"/>
      <c r="AI60" s="79"/>
      <c r="AJ60" s="79"/>
      <c r="AK60" s="79"/>
      <c r="AL60" s="79"/>
      <c r="AM60" s="76"/>
      <c r="AN60" s="76"/>
      <c r="AO60" s="76"/>
      <c r="AP60" s="76"/>
      <c r="AQ60" s="76"/>
      <c r="AR60" s="80"/>
      <c r="AS60" s="76"/>
      <c r="AT60" s="80"/>
      <c r="AU60" s="76"/>
    </row>
    <row r="61" spans="7:47" x14ac:dyDescent="0.35">
      <c r="G61" s="77"/>
      <c r="H61" s="77"/>
      <c r="L61" s="79"/>
      <c r="M61" s="79"/>
      <c r="N61" s="79"/>
      <c r="O61" s="79"/>
      <c r="P61" s="79"/>
      <c r="Q61" s="79"/>
      <c r="R61" s="79"/>
      <c r="S61" s="79"/>
      <c r="T61" s="76"/>
      <c r="U61" s="76"/>
      <c r="Z61" s="76"/>
      <c r="AA61" s="77"/>
      <c r="AB61" s="77"/>
      <c r="AF61" s="79"/>
      <c r="AG61" s="79"/>
      <c r="AH61" s="79"/>
      <c r="AI61" s="79"/>
      <c r="AJ61" s="79"/>
      <c r="AK61" s="79"/>
      <c r="AL61" s="79"/>
      <c r="AM61" s="76"/>
      <c r="AN61" s="76"/>
      <c r="AO61" s="76"/>
      <c r="AP61" s="76"/>
      <c r="AQ61" s="76"/>
      <c r="AR61" s="80"/>
      <c r="AS61" s="76"/>
      <c r="AT61" s="80"/>
      <c r="AU61" s="76"/>
    </row>
    <row r="62" spans="7:47" x14ac:dyDescent="0.35">
      <c r="G62" s="77"/>
      <c r="H62" s="77"/>
      <c r="L62" s="79"/>
      <c r="M62" s="79"/>
      <c r="N62" s="79"/>
      <c r="O62" s="79"/>
      <c r="P62" s="79"/>
      <c r="Q62" s="79"/>
      <c r="R62" s="79"/>
      <c r="S62" s="79"/>
      <c r="T62" s="76"/>
      <c r="U62" s="76"/>
      <c r="Z62" s="76"/>
      <c r="AA62" s="77"/>
      <c r="AB62" s="77"/>
      <c r="AF62" s="79"/>
      <c r="AG62" s="79"/>
      <c r="AH62" s="79"/>
      <c r="AI62" s="79"/>
      <c r="AJ62" s="79"/>
      <c r="AK62" s="79"/>
      <c r="AL62" s="79"/>
      <c r="AM62" s="76"/>
      <c r="AN62" s="76"/>
      <c r="AO62" s="76"/>
      <c r="AP62" s="76"/>
      <c r="AQ62" s="76"/>
      <c r="AR62" s="80"/>
      <c r="AS62" s="76"/>
      <c r="AT62" s="80"/>
      <c r="AU62" s="76"/>
    </row>
    <row r="63" spans="7:47" x14ac:dyDescent="0.35">
      <c r="G63" s="77"/>
      <c r="H63" s="77"/>
      <c r="L63" s="79"/>
      <c r="M63" s="79"/>
      <c r="N63" s="79"/>
      <c r="O63" s="79"/>
      <c r="P63" s="79"/>
      <c r="Q63" s="79"/>
      <c r="R63" s="79"/>
      <c r="S63" s="79"/>
      <c r="T63" s="76"/>
      <c r="U63" s="76"/>
      <c r="Z63" s="76"/>
      <c r="AA63" s="77"/>
      <c r="AB63" s="77"/>
      <c r="AF63" s="79"/>
      <c r="AG63" s="79"/>
      <c r="AH63" s="79"/>
      <c r="AI63" s="79"/>
      <c r="AJ63" s="79"/>
      <c r="AK63" s="79"/>
      <c r="AL63" s="79"/>
      <c r="AM63" s="76"/>
      <c r="AN63" s="76"/>
      <c r="AO63" s="76"/>
      <c r="AP63" s="76"/>
      <c r="AQ63" s="76"/>
      <c r="AR63" s="80"/>
      <c r="AS63" s="76"/>
      <c r="AT63" s="80"/>
      <c r="AU63" s="76"/>
    </row>
    <row r="64" spans="7:47" x14ac:dyDescent="0.35">
      <c r="G64" s="77"/>
      <c r="H64" s="77"/>
      <c r="L64" s="79"/>
      <c r="M64" s="79"/>
      <c r="N64" s="79"/>
      <c r="O64" s="79"/>
      <c r="P64" s="79"/>
      <c r="Q64" s="79"/>
      <c r="R64" s="79"/>
      <c r="S64" s="79"/>
      <c r="T64" s="76"/>
      <c r="U64" s="76"/>
      <c r="Z64" s="76"/>
      <c r="AA64" s="77"/>
      <c r="AB64" s="77"/>
      <c r="AF64" s="79"/>
      <c r="AG64" s="79"/>
      <c r="AH64" s="79"/>
      <c r="AI64" s="79"/>
      <c r="AJ64" s="79"/>
      <c r="AK64" s="79"/>
      <c r="AL64" s="79"/>
      <c r="AM64" s="76"/>
      <c r="AN64" s="76"/>
      <c r="AO64" s="76"/>
      <c r="AP64" s="76"/>
      <c r="AQ64" s="76"/>
      <c r="AR64" s="80"/>
      <c r="AS64" s="76"/>
      <c r="AT64" s="80"/>
      <c r="AU64" s="76"/>
    </row>
    <row r="65" spans="7:47" x14ac:dyDescent="0.35">
      <c r="G65" s="77"/>
      <c r="H65" s="77"/>
      <c r="L65" s="79"/>
      <c r="M65" s="79"/>
      <c r="N65" s="79"/>
      <c r="O65" s="79"/>
      <c r="P65" s="79"/>
      <c r="Q65" s="79"/>
      <c r="R65" s="79"/>
      <c r="S65" s="79"/>
      <c r="T65" s="76"/>
      <c r="U65" s="76"/>
      <c r="Z65" s="76"/>
      <c r="AA65" s="77"/>
      <c r="AB65" s="77"/>
      <c r="AF65" s="79"/>
      <c r="AG65" s="79"/>
      <c r="AH65" s="79"/>
      <c r="AI65" s="79"/>
      <c r="AJ65" s="79"/>
      <c r="AK65" s="79"/>
      <c r="AL65" s="79"/>
      <c r="AM65" s="76"/>
      <c r="AN65" s="76"/>
      <c r="AO65" s="76"/>
      <c r="AP65" s="76"/>
      <c r="AQ65" s="76"/>
      <c r="AR65" s="80"/>
      <c r="AS65" s="76"/>
      <c r="AT65" s="80"/>
      <c r="AU65" s="76"/>
    </row>
    <row r="66" spans="7:47" x14ac:dyDescent="0.35">
      <c r="G66" s="77"/>
      <c r="H66" s="77"/>
      <c r="L66" s="79"/>
      <c r="M66" s="79"/>
      <c r="N66" s="79"/>
      <c r="O66" s="79"/>
      <c r="P66" s="79"/>
      <c r="Q66" s="79"/>
      <c r="R66" s="79"/>
      <c r="S66" s="79"/>
      <c r="T66" s="76"/>
      <c r="U66" s="76"/>
      <c r="Z66" s="76"/>
      <c r="AA66" s="77"/>
      <c r="AB66" s="77"/>
      <c r="AF66" s="79"/>
      <c r="AG66" s="79"/>
      <c r="AH66" s="79"/>
      <c r="AI66" s="79"/>
      <c r="AJ66" s="79"/>
      <c r="AK66" s="79"/>
      <c r="AL66" s="79"/>
      <c r="AM66" s="76"/>
      <c r="AN66" s="76"/>
      <c r="AO66" s="76"/>
      <c r="AP66" s="76"/>
      <c r="AQ66" s="76"/>
      <c r="AR66" s="80"/>
      <c r="AS66" s="76"/>
      <c r="AT66" s="80"/>
      <c r="AU66" s="76"/>
    </row>
    <row r="67" spans="7:47" x14ac:dyDescent="0.35">
      <c r="G67" s="77"/>
      <c r="H67" s="77"/>
      <c r="L67" s="79"/>
      <c r="M67" s="79"/>
      <c r="N67" s="79"/>
      <c r="O67" s="79"/>
      <c r="P67" s="79"/>
      <c r="Q67" s="79"/>
      <c r="R67" s="79"/>
      <c r="S67" s="79"/>
      <c r="T67" s="76"/>
      <c r="U67" s="76"/>
      <c r="Z67" s="76"/>
      <c r="AA67" s="77"/>
      <c r="AB67" s="77"/>
      <c r="AF67" s="79"/>
      <c r="AG67" s="79"/>
      <c r="AH67" s="79"/>
      <c r="AI67" s="79"/>
      <c r="AJ67" s="79"/>
      <c r="AK67" s="79"/>
      <c r="AL67" s="79"/>
      <c r="AM67" s="76"/>
      <c r="AN67" s="76"/>
      <c r="AO67" s="76"/>
      <c r="AP67" s="76"/>
      <c r="AQ67" s="76"/>
      <c r="AR67" s="80"/>
      <c r="AS67" s="76"/>
      <c r="AT67" s="80"/>
      <c r="AU67" s="76"/>
    </row>
    <row r="68" spans="7:47" x14ac:dyDescent="0.35">
      <c r="G68" s="81"/>
      <c r="H68" s="81"/>
      <c r="L68" s="79"/>
      <c r="M68" s="79"/>
      <c r="N68" s="79"/>
      <c r="O68" s="79"/>
      <c r="P68" s="79"/>
      <c r="Q68" s="79"/>
      <c r="R68" s="79"/>
      <c r="S68" s="79"/>
      <c r="T68" s="76"/>
      <c r="U68" s="76"/>
      <c r="Z68" s="76"/>
      <c r="AA68" s="77"/>
      <c r="AB68" s="77"/>
      <c r="AF68" s="79"/>
      <c r="AG68" s="79"/>
      <c r="AH68" s="79"/>
      <c r="AI68" s="79"/>
      <c r="AJ68" s="79"/>
      <c r="AK68" s="79"/>
      <c r="AL68" s="79"/>
      <c r="AM68" s="76"/>
      <c r="AN68" s="76"/>
      <c r="AO68" s="76"/>
      <c r="AP68" s="76"/>
      <c r="AQ68" s="76"/>
      <c r="AR68" s="80"/>
      <c r="AS68" s="76"/>
      <c r="AT68" s="80"/>
      <c r="AU68" s="7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3"/>
  <sheetViews>
    <sheetView zoomScaleNormal="100" workbookViewId="0">
      <selection activeCell="Y11" sqref="Y11"/>
    </sheetView>
  </sheetViews>
  <sheetFormatPr defaultColWidth="11.81640625" defaultRowHeight="14.5" x14ac:dyDescent="0.35"/>
  <cols>
    <col min="1" max="1" width="35.81640625" customWidth="1"/>
    <col min="3" max="3" width="4.6328125" customWidth="1"/>
    <col min="15" max="15" width="15.54296875" customWidth="1"/>
    <col min="18" max="18" width="14.1796875" customWidth="1"/>
    <col min="19" max="19" width="13.1796875" customWidth="1"/>
    <col min="21" max="21" width="14.36328125" customWidth="1"/>
    <col min="22" max="22" width="16.54296875" customWidth="1"/>
  </cols>
  <sheetData>
    <row r="1" spans="1:23" s="28" customFormat="1" ht="21" x14ac:dyDescent="0.5">
      <c r="A1" s="23" t="s">
        <v>93</v>
      </c>
      <c r="B1" s="23"/>
      <c r="C1" s="23"/>
      <c r="D1" s="23"/>
      <c r="E1" s="23"/>
      <c r="F1" s="23"/>
      <c r="G1" s="23"/>
      <c r="H1" s="23"/>
      <c r="I1" s="23"/>
      <c r="J1" s="23"/>
      <c r="K1" s="23"/>
      <c r="L1" s="23"/>
      <c r="M1" s="23"/>
      <c r="N1" s="23"/>
      <c r="O1" s="23"/>
      <c r="P1" s="23"/>
      <c r="Q1" s="23"/>
      <c r="R1" s="23"/>
      <c r="S1" s="23"/>
      <c r="T1" s="23"/>
      <c r="U1" s="23"/>
      <c r="V1" s="23"/>
    </row>
    <row r="2" spans="1:23" x14ac:dyDescent="0.35">
      <c r="W2" s="82"/>
    </row>
    <row r="3" spans="1:23" x14ac:dyDescent="0.35">
      <c r="A3" s="38" t="s">
        <v>32</v>
      </c>
      <c r="B3" s="39">
        <v>10</v>
      </c>
      <c r="V3" s="83"/>
    </row>
    <row r="4" spans="1:23" x14ac:dyDescent="0.35">
      <c r="A4" s="38" t="s">
        <v>33</v>
      </c>
      <c r="B4" s="41">
        <v>3750</v>
      </c>
      <c r="V4" s="36"/>
    </row>
    <row r="5" spans="1:23" x14ac:dyDescent="0.35">
      <c r="A5" s="38" t="s">
        <v>34</v>
      </c>
      <c r="B5" s="41">
        <v>50000</v>
      </c>
      <c r="D5" s="59"/>
      <c r="E5" s="59" t="s">
        <v>72</v>
      </c>
      <c r="F5" s="59" t="s">
        <v>73</v>
      </c>
      <c r="G5" s="59" t="s">
        <v>74</v>
      </c>
      <c r="H5" s="59" t="s">
        <v>75</v>
      </c>
      <c r="I5" s="59" t="s">
        <v>75</v>
      </c>
      <c r="J5" s="59" t="s">
        <v>76</v>
      </c>
      <c r="K5" s="59" t="s">
        <v>77</v>
      </c>
      <c r="L5" s="59" t="s">
        <v>78</v>
      </c>
      <c r="M5" s="59" t="s">
        <v>59</v>
      </c>
      <c r="N5" s="59" t="s">
        <v>59</v>
      </c>
      <c r="O5" s="59" t="s">
        <v>78</v>
      </c>
      <c r="P5" s="59" t="s">
        <v>60</v>
      </c>
      <c r="Q5" s="59" t="s">
        <v>60</v>
      </c>
      <c r="R5" s="59" t="s">
        <v>78</v>
      </c>
      <c r="S5" s="59" t="s">
        <v>65</v>
      </c>
      <c r="T5" s="59" t="s">
        <v>79</v>
      </c>
      <c r="U5" s="59" t="s">
        <v>78</v>
      </c>
      <c r="V5" s="59" t="s">
        <v>80</v>
      </c>
    </row>
    <row r="6" spans="1:23" x14ac:dyDescent="0.35">
      <c r="A6" s="38" t="s">
        <v>35</v>
      </c>
      <c r="B6" s="41">
        <v>5000</v>
      </c>
      <c r="D6" s="62" t="s">
        <v>67</v>
      </c>
      <c r="E6" s="62"/>
      <c r="F6" s="62"/>
      <c r="G6" s="62"/>
      <c r="H6" s="62" t="s">
        <v>82</v>
      </c>
      <c r="I6" s="62" t="s">
        <v>83</v>
      </c>
      <c r="J6" s="62" t="s">
        <v>84</v>
      </c>
      <c r="K6" s="62" t="s">
        <v>85</v>
      </c>
      <c r="L6" s="62" t="s">
        <v>86</v>
      </c>
      <c r="M6" s="62" t="s">
        <v>84</v>
      </c>
      <c r="N6" s="62" t="s">
        <v>87</v>
      </c>
      <c r="O6" s="62" t="s">
        <v>88</v>
      </c>
      <c r="P6" s="62" t="s">
        <v>84</v>
      </c>
      <c r="Q6" s="62" t="s">
        <v>87</v>
      </c>
      <c r="R6" s="62" t="s">
        <v>89</v>
      </c>
      <c r="S6" s="62" t="s">
        <v>70</v>
      </c>
      <c r="T6" s="62" t="s">
        <v>87</v>
      </c>
      <c r="U6" s="62" t="s">
        <v>90</v>
      </c>
      <c r="V6" s="62" t="s">
        <v>91</v>
      </c>
    </row>
    <row r="7" spans="1:23" x14ac:dyDescent="0.35">
      <c r="A7" s="38" t="s">
        <v>37</v>
      </c>
      <c r="B7" s="43">
        <v>0.5</v>
      </c>
      <c r="D7" s="84">
        <f>'Q1 (ii)'!D5</f>
        <v>1</v>
      </c>
      <c r="E7" s="69"/>
      <c r="F7" s="69"/>
      <c r="G7" s="69"/>
      <c r="H7" s="69"/>
      <c r="I7" s="69"/>
      <c r="J7" s="69"/>
      <c r="K7" s="69"/>
      <c r="L7" s="69"/>
      <c r="M7" s="69"/>
      <c r="N7" s="69"/>
      <c r="O7" s="69"/>
      <c r="P7" s="69"/>
      <c r="Q7" s="69"/>
      <c r="R7" s="69"/>
      <c r="S7" s="69"/>
      <c r="T7" s="69"/>
      <c r="U7" s="69"/>
      <c r="V7" s="69"/>
    </row>
    <row r="8" spans="1:23" x14ac:dyDescent="0.35">
      <c r="A8" s="38" t="s">
        <v>39</v>
      </c>
      <c r="B8" s="43">
        <v>1.075</v>
      </c>
      <c r="D8" s="84">
        <f>'Q1 (ii)'!D6</f>
        <v>2</v>
      </c>
      <c r="E8" s="69"/>
      <c r="F8" s="69"/>
      <c r="G8" s="69"/>
      <c r="H8" s="69"/>
      <c r="I8" s="69"/>
      <c r="J8" s="69"/>
      <c r="K8" s="69"/>
      <c r="L8" s="69"/>
      <c r="M8" s="69"/>
      <c r="N8" s="69"/>
      <c r="O8" s="69"/>
      <c r="P8" s="69"/>
      <c r="Q8" s="69"/>
      <c r="R8" s="69"/>
      <c r="S8" s="69"/>
      <c r="T8" s="69"/>
      <c r="U8" s="69"/>
      <c r="V8" s="69"/>
    </row>
    <row r="9" spans="1:23" x14ac:dyDescent="0.35">
      <c r="B9" s="44"/>
      <c r="D9" s="84">
        <f>'Q1 (ii)'!D7</f>
        <v>3</v>
      </c>
      <c r="E9" s="69"/>
      <c r="F9" s="69"/>
      <c r="G9" s="69"/>
      <c r="H9" s="69"/>
      <c r="I9" s="69"/>
      <c r="J9" s="69"/>
      <c r="K9" s="69"/>
      <c r="L9" s="69"/>
      <c r="M9" s="69"/>
      <c r="N9" s="69"/>
      <c r="O9" s="69"/>
      <c r="P9" s="69"/>
      <c r="Q9" s="69"/>
      <c r="R9" s="69"/>
      <c r="S9" s="69"/>
      <c r="T9" s="69"/>
      <c r="U9" s="69"/>
      <c r="V9" s="69"/>
    </row>
    <row r="10" spans="1:23" x14ac:dyDescent="0.35">
      <c r="A10" s="45" t="s">
        <v>41</v>
      </c>
      <c r="B10" s="46"/>
      <c r="D10" s="57">
        <v>4</v>
      </c>
      <c r="E10" s="69"/>
      <c r="F10" s="69"/>
      <c r="G10" s="69"/>
      <c r="H10" s="69"/>
      <c r="I10" s="69"/>
      <c r="J10" s="69"/>
      <c r="K10" s="69"/>
      <c r="L10" s="69"/>
      <c r="M10" s="69"/>
      <c r="N10" s="69"/>
      <c r="O10" s="69"/>
      <c r="P10" s="69"/>
      <c r="Q10" s="69"/>
      <c r="R10" s="69"/>
      <c r="S10" s="69"/>
      <c r="T10" s="69"/>
      <c r="U10" s="69"/>
      <c r="V10" s="69"/>
    </row>
    <row r="11" spans="1:23" x14ac:dyDescent="0.35">
      <c r="D11" s="57">
        <v>5</v>
      </c>
      <c r="E11" s="69"/>
      <c r="F11" s="69"/>
      <c r="G11" s="69"/>
      <c r="H11" s="69"/>
      <c r="I11" s="69"/>
      <c r="J11" s="69"/>
      <c r="K11" s="69"/>
      <c r="L11" s="69"/>
      <c r="M11" s="69"/>
      <c r="N11" s="69"/>
      <c r="O11" s="69"/>
      <c r="P11" s="69"/>
      <c r="Q11" s="69"/>
      <c r="R11" s="69"/>
      <c r="S11" s="69"/>
      <c r="T11" s="69"/>
      <c r="U11" s="69"/>
      <c r="V11" s="69"/>
    </row>
    <row r="12" spans="1:23" x14ac:dyDescent="0.35">
      <c r="A12" s="48" t="s">
        <v>42</v>
      </c>
      <c r="B12" s="39">
        <v>250</v>
      </c>
      <c r="D12" s="57">
        <v>6</v>
      </c>
      <c r="E12" s="69"/>
      <c r="F12" s="69"/>
      <c r="G12" s="69"/>
      <c r="H12" s="69"/>
      <c r="I12" s="69"/>
      <c r="J12" s="69"/>
      <c r="K12" s="69"/>
      <c r="L12" s="69"/>
      <c r="M12" s="69"/>
      <c r="N12" s="69"/>
      <c r="O12" s="69"/>
      <c r="P12" s="69"/>
      <c r="Q12" s="69"/>
      <c r="R12" s="69"/>
      <c r="S12" s="69"/>
      <c r="T12" s="69"/>
      <c r="U12" s="69"/>
      <c r="V12" s="69"/>
    </row>
    <row r="13" spans="1:23" x14ac:dyDescent="0.35">
      <c r="A13" s="48" t="s">
        <v>44</v>
      </c>
      <c r="B13" s="39">
        <v>50</v>
      </c>
      <c r="D13" s="57">
        <v>7</v>
      </c>
      <c r="E13" s="69"/>
      <c r="F13" s="69"/>
      <c r="G13" s="69"/>
      <c r="H13" s="69"/>
      <c r="I13" s="69"/>
      <c r="J13" s="69"/>
      <c r="K13" s="69"/>
      <c r="L13" s="69"/>
      <c r="M13" s="69"/>
      <c r="N13" s="69"/>
      <c r="O13" s="69"/>
      <c r="P13" s="69"/>
      <c r="Q13" s="69"/>
      <c r="R13" s="69"/>
      <c r="S13" s="69"/>
      <c r="T13" s="69"/>
      <c r="U13" s="69"/>
      <c r="V13" s="69"/>
    </row>
    <row r="14" spans="1:23" x14ac:dyDescent="0.35">
      <c r="A14" s="50" t="s">
        <v>46</v>
      </c>
      <c r="B14" s="51">
        <v>1.4999999999999999E-2</v>
      </c>
      <c r="D14" s="57">
        <v>8</v>
      </c>
      <c r="E14" s="69"/>
      <c r="F14" s="69"/>
      <c r="G14" s="69"/>
      <c r="H14" s="69"/>
      <c r="I14" s="69"/>
      <c r="J14" s="69"/>
      <c r="K14" s="69"/>
      <c r="L14" s="69"/>
      <c r="M14" s="69"/>
      <c r="N14" s="69"/>
      <c r="O14" s="69"/>
      <c r="P14" s="69"/>
      <c r="Q14" s="69"/>
      <c r="R14" s="69"/>
      <c r="S14" s="69"/>
      <c r="T14" s="69"/>
      <c r="U14" s="69"/>
      <c r="V14" s="69"/>
    </row>
    <row r="15" spans="1:23" x14ac:dyDescent="0.35">
      <c r="A15" s="52"/>
      <c r="B15" s="53"/>
      <c r="D15" s="57">
        <v>9</v>
      </c>
      <c r="E15" s="69"/>
      <c r="F15" s="69"/>
      <c r="G15" s="69"/>
      <c r="H15" s="69"/>
      <c r="I15" s="69"/>
      <c r="J15" s="69"/>
      <c r="K15" s="69"/>
      <c r="L15" s="69"/>
      <c r="M15" s="69"/>
      <c r="N15" s="69"/>
      <c r="O15" s="69"/>
      <c r="P15" s="69"/>
      <c r="Q15" s="69"/>
      <c r="R15" s="69"/>
      <c r="S15" s="69"/>
      <c r="T15" s="69"/>
      <c r="U15" s="69"/>
      <c r="V15" s="69"/>
    </row>
    <row r="16" spans="1:23" x14ac:dyDescent="0.35">
      <c r="A16" s="50" t="s">
        <v>48</v>
      </c>
      <c r="B16" s="43">
        <v>0.05</v>
      </c>
      <c r="D16" s="57">
        <v>10</v>
      </c>
      <c r="E16" s="69"/>
      <c r="F16" s="69"/>
      <c r="G16" s="69"/>
      <c r="H16" s="69"/>
      <c r="I16" s="69"/>
      <c r="J16" s="69"/>
      <c r="K16" s="69"/>
      <c r="L16" s="69"/>
      <c r="M16" s="69"/>
      <c r="N16" s="69"/>
      <c r="O16" s="69"/>
      <c r="P16" s="69"/>
      <c r="Q16" s="69"/>
      <c r="R16" s="69"/>
      <c r="S16" s="69"/>
      <c r="T16" s="69"/>
      <c r="U16" s="69"/>
      <c r="V16" s="69"/>
    </row>
    <row r="17" spans="1:22" x14ac:dyDescent="0.35">
      <c r="A17" s="50" t="s">
        <v>50</v>
      </c>
      <c r="B17" s="43">
        <v>5.0000000000000001E-3</v>
      </c>
      <c r="D17" s="70"/>
      <c r="E17" s="71"/>
      <c r="F17" s="72"/>
      <c r="G17" s="72"/>
      <c r="H17" s="70"/>
      <c r="I17" s="72"/>
      <c r="J17" s="73"/>
      <c r="K17" s="74"/>
      <c r="L17" s="72"/>
      <c r="M17" s="73"/>
      <c r="N17" s="70"/>
      <c r="O17" s="75"/>
      <c r="P17" s="85"/>
      <c r="Q17" s="75"/>
      <c r="R17" s="75"/>
      <c r="S17" s="73"/>
      <c r="T17" s="74"/>
      <c r="U17" s="75"/>
      <c r="V17" s="72"/>
    </row>
    <row r="18" spans="1:22" x14ac:dyDescent="0.35">
      <c r="A18" s="52"/>
      <c r="B18" s="53"/>
      <c r="D18" s="86"/>
      <c r="E18" s="86"/>
      <c r="F18" s="86"/>
      <c r="G18" s="86"/>
      <c r="H18" s="86"/>
      <c r="I18" s="86"/>
      <c r="J18" s="86"/>
      <c r="K18" s="86"/>
      <c r="L18" s="86"/>
      <c r="M18" s="86"/>
      <c r="N18" s="86"/>
      <c r="O18" s="86"/>
      <c r="P18" s="86"/>
    </row>
    <row r="19" spans="1:22" x14ac:dyDescent="0.35">
      <c r="A19" s="48" t="s">
        <v>52</v>
      </c>
      <c r="B19" s="43">
        <v>7.4999999999999997E-2</v>
      </c>
    </row>
    <row r="20" spans="1:22" x14ac:dyDescent="0.35">
      <c r="A20" s="48" t="s">
        <v>53</v>
      </c>
      <c r="B20" s="54">
        <v>0.15</v>
      </c>
    </row>
    <row r="21" spans="1:22" x14ac:dyDescent="0.35">
      <c r="B21" s="37"/>
    </row>
    <row r="22" spans="1:22" x14ac:dyDescent="0.35">
      <c r="A22" s="48" t="s">
        <v>54</v>
      </c>
      <c r="B22" s="43">
        <v>3.5000000000000003E-2</v>
      </c>
    </row>
    <row r="23" spans="1:22" x14ac:dyDescent="0.35">
      <c r="A23" s="48" t="s">
        <v>56</v>
      </c>
      <c r="B23" s="43">
        <v>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
  <sheetViews>
    <sheetView zoomScaleNormal="100" workbookViewId="0">
      <selection activeCell="A4" sqref="A4"/>
    </sheetView>
  </sheetViews>
  <sheetFormatPr defaultColWidth="11.81640625" defaultRowHeight="14.5" x14ac:dyDescent="0.35"/>
  <sheetData>
    <row r="1" spans="1:28" s="28" customFormat="1" ht="21" x14ac:dyDescent="0.5">
      <c r="A1" s="23" t="s">
        <v>94</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
  <sheetViews>
    <sheetView zoomScaleNormal="100" workbookViewId="0">
      <selection activeCell="A4" sqref="A4"/>
    </sheetView>
  </sheetViews>
  <sheetFormatPr defaultColWidth="8.1796875" defaultRowHeight="14.5" x14ac:dyDescent="0.35"/>
  <sheetData>
    <row r="1" spans="1:28" s="28" customFormat="1" ht="21" x14ac:dyDescent="0.5">
      <c r="A1" s="23" t="s">
        <v>95</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6" ma:contentTypeDescription="Create a new document." ma:contentTypeScope="" ma:versionID="a1edf7eaa26769fbd3bb08dbe289970f">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b644364b1be0d0cf03ba45fdfaec10b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9F40B-DA6C-491C-B717-380524085B8A}">
  <ds:schemaRefs>
    <ds:schemaRef ds:uri="http://schemas.openxmlformats.org/package/2006/metadata/core-properties"/>
    <ds:schemaRef ds:uri="http://schemas.microsoft.com/office/2006/documentManagement/types"/>
    <ds:schemaRef ds:uri="http://schemas.microsoft.com/office/infopath/2007/PartnerControls"/>
    <ds:schemaRef ds:uri="80348ba6-adcc-40fb-8576-6b95a36a3021"/>
    <ds:schemaRef ds:uri="http://www.w3.org/XML/1998/namespace"/>
    <ds:schemaRef ds:uri="http://purl.org/dc/terms/"/>
    <ds:schemaRef ds:uri="http://purl.org/dc/elements/1.1/"/>
    <ds:schemaRef ds:uri="051538e9-c694-450b-9056-83c8e7b681d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72A611C-20C0-431B-83A2-9E344655704F}">
  <ds:schemaRefs>
    <ds:schemaRef ds:uri="http://schemas.microsoft.com/sharepoint/v3/contenttype/forms"/>
  </ds:schemaRefs>
</ds:datastoreItem>
</file>

<file path=customXml/itemProps3.xml><?xml version="1.0" encoding="utf-8"?>
<ds:datastoreItem xmlns:ds="http://schemas.openxmlformats.org/officeDocument/2006/customXml" ds:itemID="{4364EC00-DC07-4B5C-A1C7-5A4D8D3F3E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Instructions</vt:lpstr>
      <vt:lpstr>Details</vt:lpstr>
      <vt:lpstr>Q1 Mortality table</vt:lpstr>
      <vt:lpstr>Q1 Inputs</vt:lpstr>
      <vt:lpstr>Q1 (i)</vt:lpstr>
      <vt:lpstr>Q1 (ii)</vt:lpstr>
      <vt:lpstr>Q1 (iii)</vt:lpstr>
      <vt:lpstr>Q1 (iv)</vt:lpstr>
      <vt:lpstr>Q1 (v)</vt:lpstr>
      <vt:lpstr>Q1 Answers</vt:lpstr>
      <vt:lpstr>Q2 Mortality table</vt:lpstr>
      <vt:lpstr>Q2 Inputs</vt:lpstr>
      <vt:lpstr>Q2 Reserves</vt:lpstr>
      <vt:lpstr>Q2 Profit test</vt:lpstr>
      <vt:lpstr>Q2 (i)</vt:lpstr>
      <vt:lpstr>Q2 (ii)</vt:lpstr>
      <vt:lpstr>Q2 (iii)</vt:lpstr>
      <vt:lpstr>Q2 (iv)</vt:lpstr>
      <vt:lpstr>Q2 (v)</vt:lpstr>
      <vt:lpstr>Q2 (vi) - Reserves</vt:lpstr>
      <vt:lpstr>Q2 (vi) - Profits</vt:lpstr>
      <vt:lpstr>Q2 Answers</vt:lpstr>
      <vt:lpstr>A</vt:lpstr>
      <vt:lpstr>BO</vt:lpstr>
      <vt:lpstr>D</vt:lpstr>
      <vt:lpstr>P</vt:lpstr>
      <vt:lpstr>ProIE</vt:lpstr>
      <vt:lpstr>ProINF</vt:lpstr>
      <vt:lpstr>ProINT</vt:lpstr>
      <vt:lpstr>ProMM</vt:lpstr>
      <vt:lpstr>ProRE</vt:lpstr>
      <vt:lpstr>ProUG</vt:lpstr>
      <vt:lpstr>ResIE</vt:lpstr>
      <vt:lpstr>ResINF</vt:lpstr>
      <vt:lpstr>ResINT</vt:lpstr>
      <vt:lpstr>ResMM</vt:lpstr>
      <vt:lpstr>ResRE</vt:lpstr>
      <vt:lpstr>ResUG</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Apollo Group User</dc:creator>
  <cp:lastModifiedBy>Greg Ardan</cp:lastModifiedBy>
  <dcterms:created xsi:type="dcterms:W3CDTF">2018-07-23T14:10:23Z</dcterms:created>
  <dcterms:modified xsi:type="dcterms:W3CDTF">2024-06-11T14:38:49Z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